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80" windowHeight="7305" activeTab="0"/>
  </bookViews>
  <sheets>
    <sheet name="0503737" sheetId="1" r:id="rId1"/>
  </sheets>
  <definedNames>
    <definedName name="AnalitValues">#REF!</definedName>
    <definedName name="AnalitValues1">#REF!</definedName>
    <definedName name="AnalitValues2">#REF!</definedName>
    <definedName name="AnalitValues3">#REF!</definedName>
    <definedName name="AnalitValues4">#REF!</definedName>
    <definedName name="EmailОтпр">#REF!</definedName>
    <definedName name="fin900">'0503737'!$B$151</definedName>
    <definedName name="PeriodOtch">#REF!</definedName>
    <definedName name="Regions">#REF!</definedName>
    <definedName name="UdLich">#REF!</definedName>
    <definedName name="АдрЦБ">#REF!</definedName>
    <definedName name="ВерФОтч">#REF!</definedName>
    <definedName name="ГлБК">#REF!</definedName>
    <definedName name="ГодПериодОтч">#REF!</definedName>
    <definedName name="ДатаОтчета">#REF!</definedName>
    <definedName name="ДокПредст">#REF!</definedName>
    <definedName name="ДолжнОтпр">#REF!</definedName>
    <definedName name="ДолжнРукЦБ">#REF!</definedName>
    <definedName name="ИдИнф">#REF!</definedName>
    <definedName name="ИННЦБ">#REF!</definedName>
    <definedName name="КНД">#REF!</definedName>
    <definedName name="КодПодр">#REF!</definedName>
    <definedName name="КодРайон">#REF!</definedName>
    <definedName name="КолПокФОтч">#REF!</definedName>
    <definedName name="КППЦБ">#REF!</definedName>
    <definedName name="НаимОргУчд">#REF!</definedName>
    <definedName name="НаимПодрПол">#REF!</definedName>
    <definedName name="НаимУчд">#REF!</definedName>
    <definedName name="НаимФОтч">#REF!</definedName>
    <definedName name="НаимЦБ">#REF!</definedName>
    <definedName name="НаимЮЛПол">#REF!</definedName>
    <definedName name="НомерКорр">#REF!</definedName>
    <definedName name="НомерПериодОтч">#REF!</definedName>
    <definedName name="_xlnm.Print_Area" localSheetId="0">'0503737'!$A$2:$O$169</definedName>
    <definedName name="ОбособПодр">#REF!</definedName>
    <definedName name="ОГРНЦБ">#REF!</definedName>
    <definedName name="ОКАТО">#REF!</definedName>
    <definedName name="ОКЕИ">#REF!</definedName>
    <definedName name="ОКПО">#REF!</definedName>
    <definedName name="ОКПОУЧД">#REF!</definedName>
    <definedName name="П000010000000">'0503737'!#REF!</definedName>
    <definedName name="П000010000000Т">'0503737'!$D$3</definedName>
    <definedName name="П000010000000Ц">'0503737'!$O$4</definedName>
    <definedName name="П000010000001">'0503737'!#REF!</definedName>
    <definedName name="П000010000002">'0503737'!#REF!</definedName>
    <definedName name="П000010000003">'0503737'!#REF!</definedName>
    <definedName name="П000010000004">'0503737'!#REF!</definedName>
    <definedName name="П000010000005">'0503737'!#REF!</definedName>
    <definedName name="П000010000006">'0503737'!#REF!</definedName>
    <definedName name="П000010000007">'0503737'!#REF!</definedName>
    <definedName name="П000010000008">'0503737'!#REF!</definedName>
    <definedName name="П000010001004">'0503737'!$D$17</definedName>
    <definedName name="П000010001005">'0503737'!$E$17</definedName>
    <definedName name="П000010001006">'0503737'!$G$17</definedName>
    <definedName name="П000010001007">'0503737'!$I$17</definedName>
    <definedName name="П000010001008">'0503737'!$K$17</definedName>
    <definedName name="П000010001009">'0503737'!$M$17</definedName>
    <definedName name="П000010001010">'0503737'!$O$17</definedName>
    <definedName name="П000010003004">'0503737'!$D$18</definedName>
    <definedName name="П000010003005">'0503737'!$E$18</definedName>
    <definedName name="П000010003006">'0503737'!$G$18</definedName>
    <definedName name="П000010003007">'0503737'!$I$18</definedName>
    <definedName name="П000010003008">'0503737'!$K$18</definedName>
    <definedName name="П000010003009">'0503737'!$M$18</definedName>
    <definedName name="П000010003010">'0503737'!$O$18</definedName>
    <definedName name="П000010003104">'0503737'!$D$19</definedName>
    <definedName name="П000010003105">'0503737'!$E$19</definedName>
    <definedName name="П000010003106">'0503737'!$G$19</definedName>
    <definedName name="П000010003107">'0503737'!$I$19</definedName>
    <definedName name="П000010003108">'0503737'!$K$19</definedName>
    <definedName name="П000010003109">'0503737'!$M$19</definedName>
    <definedName name="П000010003110">'0503737'!$O$19</definedName>
    <definedName name="П000010004004">'0503737'!$D$21</definedName>
    <definedName name="П000010004005">'0503737'!$E$21</definedName>
    <definedName name="П000010004006">'0503737'!$G$21</definedName>
    <definedName name="П000010004007">'0503737'!$I$21</definedName>
    <definedName name="П000010004008">'0503737'!$K$21</definedName>
    <definedName name="П000010004009">'0503737'!$M$21</definedName>
    <definedName name="П000010004010">'0503737'!$O$21</definedName>
    <definedName name="П000010005004">'0503737'!$D$22</definedName>
    <definedName name="П000010005005">'0503737'!$E$22</definedName>
    <definedName name="П000010005006">'0503737'!$G$22</definedName>
    <definedName name="П000010005007">'0503737'!$I$22</definedName>
    <definedName name="П000010005008">'0503737'!$K$22</definedName>
    <definedName name="П000010005009">'0503737'!$M$22</definedName>
    <definedName name="П000010005010">'0503737'!$O$22</definedName>
    <definedName name="П000010006004">'0503737'!$D$23</definedName>
    <definedName name="П000010006005">'0503737'!$E$23</definedName>
    <definedName name="П000010006006">'0503737'!$G$23</definedName>
    <definedName name="П000010006007">'0503737'!$I$23</definedName>
    <definedName name="П000010006008">'0503737'!$K$23</definedName>
    <definedName name="П000010006009">'0503737'!$M$23</definedName>
    <definedName name="П000010006010">'0503737'!$O$23</definedName>
    <definedName name="П000010006204">'0503737'!$D$24</definedName>
    <definedName name="П000010006205">'0503737'!$E$24</definedName>
    <definedName name="П000010006206">'0503737'!$G$24</definedName>
    <definedName name="П000010006207">'0503737'!$I$24</definedName>
    <definedName name="П000010006208">'0503737'!$K$24</definedName>
    <definedName name="П000010006209">'0503737'!$M$24</definedName>
    <definedName name="П000010006210">'0503737'!$O$24</definedName>
    <definedName name="П000010006304">'0503737'!$D$26</definedName>
    <definedName name="П000010006305">'0503737'!$E$26</definedName>
    <definedName name="П000010006306">'0503737'!$G$26</definedName>
    <definedName name="П000010006307">'0503737'!$I$26</definedName>
    <definedName name="П000010006308">'0503737'!$K$26</definedName>
    <definedName name="П000010006309">'0503737'!$M$26</definedName>
    <definedName name="П000010006310">'0503737'!$O$26</definedName>
    <definedName name="П000010009004">'0503737'!$D$27</definedName>
    <definedName name="П000010009005">'0503737'!$E$27</definedName>
    <definedName name="П000010009006">'0503737'!$G$27</definedName>
    <definedName name="П000010009007">'0503737'!$I$27</definedName>
    <definedName name="П000010009008">'0503737'!$K$27</definedName>
    <definedName name="П000010009009">'0503737'!$M$27</definedName>
    <definedName name="П000010009010">'0503737'!$O$27</definedName>
    <definedName name="П000010009204">'0503737'!$D$28</definedName>
    <definedName name="П000010009205">'0503737'!$E$28</definedName>
    <definedName name="П000010009206">'0503737'!$G$28</definedName>
    <definedName name="П000010009207">'0503737'!$I$28</definedName>
    <definedName name="П000010009208">'0503737'!$K$28</definedName>
    <definedName name="П000010009209">'0503737'!$M$28</definedName>
    <definedName name="П000010009210">'0503737'!$O$28</definedName>
    <definedName name="П000010009304">'0503737'!$D$30</definedName>
    <definedName name="П000010009305">'0503737'!$E$30</definedName>
    <definedName name="П000010009306">'0503737'!$G$30</definedName>
    <definedName name="П000010009307">'0503737'!$I$30</definedName>
    <definedName name="П000010009308">'0503737'!$K$30</definedName>
    <definedName name="П000010009309">'0503737'!$M$30</definedName>
    <definedName name="П000010009310">'0503737'!$O$30</definedName>
    <definedName name="П000010009404">'0503737'!$D$31</definedName>
    <definedName name="П000010009405">'0503737'!$E$31</definedName>
    <definedName name="П000010009406">'0503737'!$G$31</definedName>
    <definedName name="П000010009407">'0503737'!$I$31</definedName>
    <definedName name="П000010009408">'0503737'!$K$31</definedName>
    <definedName name="П000010009409">'0503737'!$M$31</definedName>
    <definedName name="П000010009410">'0503737'!$O$31</definedName>
    <definedName name="П000010009504">'0503737'!$D$32</definedName>
    <definedName name="П000010009505">'0503737'!$E$32</definedName>
    <definedName name="П000010009506">'0503737'!$G$32</definedName>
    <definedName name="П000010009507">'0503737'!$I$32</definedName>
    <definedName name="П000010009508">'0503737'!$K$32</definedName>
    <definedName name="П000010009509">'0503737'!$M$32</definedName>
    <definedName name="П000010009510">'0503737'!$O$32</definedName>
    <definedName name="П000010009604">'0503737'!$D$33</definedName>
    <definedName name="П000010009605">'0503737'!$E$33</definedName>
    <definedName name="П000010009606">'0503737'!$G$33</definedName>
    <definedName name="П000010009607">'0503737'!$I$33</definedName>
    <definedName name="П000010009608">'0503737'!$K$33</definedName>
    <definedName name="П000010009609">'0503737'!$M$33</definedName>
    <definedName name="П000010009610">'0503737'!$O$33</definedName>
    <definedName name="П000010009704">'0503737'!$D$34</definedName>
    <definedName name="П000010009705">'0503737'!$E$34</definedName>
    <definedName name="П000010009706">'0503737'!$G$34</definedName>
    <definedName name="П000010009707">'0503737'!$I$34</definedName>
    <definedName name="П000010009708">'0503737'!$K$34</definedName>
    <definedName name="П000010009709">'0503737'!$M$34</definedName>
    <definedName name="П000010009710">'0503737'!$O$34</definedName>
    <definedName name="П000010009804">'0503737'!$D$35</definedName>
    <definedName name="П000010009805">'0503737'!$E$35</definedName>
    <definedName name="П000010009806">'0503737'!$G$35</definedName>
    <definedName name="П000010009807">'0503737'!$I$35</definedName>
    <definedName name="П000010009808">'0503737'!$K$35</definedName>
    <definedName name="П000010009809">'0503737'!$M$35</definedName>
    <definedName name="П000010009810">'0503737'!$O$35</definedName>
    <definedName name="П000010010004">'0503737'!$D$40</definedName>
    <definedName name="П000010010005">'0503737'!$E$40</definedName>
    <definedName name="П000010010006">'0503737'!$G$40</definedName>
    <definedName name="П000010010007">'0503737'!$I$40</definedName>
    <definedName name="П000010010008">'0503737'!$K$40</definedName>
    <definedName name="П000010010009">'0503737'!$M$40</definedName>
    <definedName name="П000010010010">'0503737'!$O$40</definedName>
    <definedName name="П000010010104">'0503737'!$D$41</definedName>
    <definedName name="П000010010105">'0503737'!$E$41</definedName>
    <definedName name="П000010010106">'0503737'!$G$41</definedName>
    <definedName name="П000010010107">'0503737'!$I$41</definedName>
    <definedName name="П000010010108">'0503737'!$K$41</definedName>
    <definedName name="П000010010109">'0503737'!$M$41</definedName>
    <definedName name="П000010010110">'0503737'!$O$41</definedName>
    <definedName name="П000010010204">'0503737'!$D$43</definedName>
    <definedName name="П000010010205">'0503737'!$E$43</definedName>
    <definedName name="П000010010206">'0503737'!$G$43</definedName>
    <definedName name="П000010010207">'0503737'!$I$43</definedName>
    <definedName name="П000010010208">'0503737'!$K$43</definedName>
    <definedName name="П000010010209">'0503737'!$M$43</definedName>
    <definedName name="П000010010210">'0503737'!$O$43</definedName>
    <definedName name="П000010010304">'0503737'!$D$44</definedName>
    <definedName name="П000010010305">'0503737'!$E$44</definedName>
    <definedName name="П000010010306">'0503737'!$G$44</definedName>
    <definedName name="П000010010307">'0503737'!$I$44</definedName>
    <definedName name="П000010010308">'0503737'!$K$44</definedName>
    <definedName name="П000010010309">'0503737'!$M$44</definedName>
    <definedName name="П000010010310">'0503737'!$O$44</definedName>
    <definedName name="П000010010404">'0503737'!$D$45</definedName>
    <definedName name="П000010010405">'0503737'!$E$45</definedName>
    <definedName name="П000010010406">'0503737'!$G$45</definedName>
    <definedName name="П000010010407">'0503737'!$I$45</definedName>
    <definedName name="П000010010408">'0503737'!$K$45</definedName>
    <definedName name="П000010010409">'0503737'!$M$45</definedName>
    <definedName name="П000010010410">'0503737'!$O$45</definedName>
    <definedName name="П000010016004">'0503737'!$D$53</definedName>
    <definedName name="П000010016005">'0503737'!$E$53</definedName>
    <definedName name="П000010016006">'0503737'!$G$53</definedName>
    <definedName name="П000010016007">'0503737'!$I$53</definedName>
    <definedName name="П000010016008">'0503737'!$K$53</definedName>
    <definedName name="П000010016009">'0503737'!$M$53</definedName>
    <definedName name="П000010016010">'0503737'!$O$53</definedName>
    <definedName name="П000010016104">'0503737'!$D$55</definedName>
    <definedName name="П000010016105">'0503737'!$E$55</definedName>
    <definedName name="П000010016106">'0503737'!$G$55</definedName>
    <definedName name="П000010016107">'0503737'!$I$55</definedName>
    <definedName name="П000010016108">'0503737'!$K$55</definedName>
    <definedName name="П000010016109">'0503737'!$M$55</definedName>
    <definedName name="П000010016110">'0503737'!$O$55</definedName>
    <definedName name="П000010016204">'0503737'!$D$57</definedName>
    <definedName name="П000010016205">'0503737'!$E$57</definedName>
    <definedName name="П000010016206">'0503737'!$G$57</definedName>
    <definedName name="П000010016207">'0503737'!$I$57</definedName>
    <definedName name="П000010016208">'0503737'!$K$57</definedName>
    <definedName name="П000010016209">'0503737'!$M$57</definedName>
    <definedName name="П000010016210">'0503737'!$O$57</definedName>
    <definedName name="П000010016304">'0503737'!$D$58</definedName>
    <definedName name="П000010016305">'0503737'!$E$58</definedName>
    <definedName name="П000010016306">'0503737'!$G$58</definedName>
    <definedName name="П000010016307">'0503737'!$I$58</definedName>
    <definedName name="П000010016308">'0503737'!$K$58</definedName>
    <definedName name="П000010016309">'0503737'!$M$58</definedName>
    <definedName name="П000010016310">'0503737'!$O$58</definedName>
    <definedName name="П000010017004">'0503737'!$D$59</definedName>
    <definedName name="П000010017005">'0503737'!$E$59</definedName>
    <definedName name="П000010017006">'0503737'!$G$59</definedName>
    <definedName name="П000010017007">'0503737'!$I$59</definedName>
    <definedName name="П000010017008">'0503737'!$K$59</definedName>
    <definedName name="П000010017009">'0503737'!$M$59</definedName>
    <definedName name="П000010017010">'0503737'!$O$59</definedName>
    <definedName name="П000010017104">'0503737'!$D$60</definedName>
    <definedName name="П000010017105">'0503737'!$E$60</definedName>
    <definedName name="П000010017106">'0503737'!$G$60</definedName>
    <definedName name="П000010017107">'0503737'!$I$60</definedName>
    <definedName name="П000010017108">'0503737'!$K$60</definedName>
    <definedName name="П000010017109">'0503737'!$M$60</definedName>
    <definedName name="П000010017110">'0503737'!$O$60</definedName>
    <definedName name="П000010017204">'0503737'!$D$62</definedName>
    <definedName name="П000010017205">'0503737'!$E$62</definedName>
    <definedName name="П000010017206">'0503737'!$G$62</definedName>
    <definedName name="П000010017207">'0503737'!$I$62</definedName>
    <definedName name="П000010017208">'0503737'!$K$62</definedName>
    <definedName name="П000010017209">'0503737'!$M$62</definedName>
    <definedName name="П000010017210">'0503737'!$O$62</definedName>
    <definedName name="П000010017304">'0503737'!$D$63</definedName>
    <definedName name="П000010017305">'0503737'!$E$63</definedName>
    <definedName name="П000010017306">'0503737'!$G$63</definedName>
    <definedName name="П000010017307">'0503737'!$I$63</definedName>
    <definedName name="П000010017308">'0503737'!$K$63</definedName>
    <definedName name="П000010017309">'0503737'!$M$63</definedName>
    <definedName name="П000010017310">'0503737'!$O$63</definedName>
    <definedName name="П000010017404">'0503737'!$D$64</definedName>
    <definedName name="П000010017405">'0503737'!$E$64</definedName>
    <definedName name="П000010017406">'0503737'!$G$64</definedName>
    <definedName name="П000010017407">'0503737'!$I$64</definedName>
    <definedName name="П000010017408">'0503737'!$K$64</definedName>
    <definedName name="П000010017409">'0503737'!$M$64</definedName>
    <definedName name="П000010017410">'0503737'!$O$64</definedName>
    <definedName name="П000010017504">'0503737'!$D$65</definedName>
    <definedName name="П000010017505">'0503737'!$E$65</definedName>
    <definedName name="П000010017506">'0503737'!$G$65</definedName>
    <definedName name="П000010017507">'0503737'!$I$65</definedName>
    <definedName name="П000010017508">'0503737'!$K$65</definedName>
    <definedName name="П000010017509">'0503737'!$M$65</definedName>
    <definedName name="П000010017510">'0503737'!$O$65</definedName>
    <definedName name="П000010017604">'0503737'!$D$66</definedName>
    <definedName name="П000010017605">'0503737'!$E$66</definedName>
    <definedName name="П000010017606">'0503737'!$G$66</definedName>
    <definedName name="П000010017607">'0503737'!$I$66</definedName>
    <definedName name="П000010017608">'0503737'!$K$66</definedName>
    <definedName name="П000010017609">'0503737'!$M$66</definedName>
    <definedName name="П000010017610">'0503737'!$O$66</definedName>
    <definedName name="П000010019004">'0503737'!$D$67</definedName>
    <definedName name="П000010019005">'0503737'!$E$67</definedName>
    <definedName name="П000010019006">'0503737'!$G$67</definedName>
    <definedName name="П000010019007">'0503737'!$I$67</definedName>
    <definedName name="П000010019008">'0503737'!$K$67</definedName>
    <definedName name="П000010019009">'0503737'!$M$67</definedName>
    <definedName name="П000010019010">'0503737'!$O$67</definedName>
    <definedName name="П000010019104">'0503737'!$D$68</definedName>
    <definedName name="П000010019105">'0503737'!$E$68</definedName>
    <definedName name="П000010019106">'0503737'!$G$68</definedName>
    <definedName name="П000010019107">'0503737'!$I$68</definedName>
    <definedName name="П000010019108">'0503737'!$K$68</definedName>
    <definedName name="П000010019109">'0503737'!$M$68</definedName>
    <definedName name="П000010019110">'0503737'!$O$68</definedName>
    <definedName name="П000010019204">'0503737'!$D$70</definedName>
    <definedName name="П000010019205">'0503737'!$E$70</definedName>
    <definedName name="П000010019206">'0503737'!$G$70</definedName>
    <definedName name="П000010019207">'0503737'!$I$70</definedName>
    <definedName name="П000010019208">'0503737'!$K$70</definedName>
    <definedName name="П000010019209">'0503737'!$M$70</definedName>
    <definedName name="П000010019210">'0503737'!$O$70</definedName>
    <definedName name="П000010020004">'0503737'!$D$52</definedName>
    <definedName name="П000010020005">'0503737'!$E$52</definedName>
    <definedName name="П000010020006">'0503737'!$G$52</definedName>
    <definedName name="П000010020007">'0503737'!$I$52</definedName>
    <definedName name="П000010020008">'0503737'!$K$52</definedName>
    <definedName name="П000010020009">'0503737'!$M$52</definedName>
    <definedName name="П000010020010">'0503737'!$O$52</definedName>
    <definedName name="П000010021004">'0503737'!$D$71</definedName>
    <definedName name="П000010021005">'0503737'!$E$71</definedName>
    <definedName name="П000010021006">'0503737'!$G$71</definedName>
    <definedName name="П000010021007">'0503737'!$I$71</definedName>
    <definedName name="П000010021008">'0503737'!$K$71</definedName>
    <definedName name="П000010021009">'0503737'!$M$71</definedName>
    <definedName name="П000010021010">'0503737'!$O$71</definedName>
    <definedName name="П000010021104">'0503737'!$D$72</definedName>
    <definedName name="П000010021105">'0503737'!$E$72</definedName>
    <definedName name="П000010021106">'0503737'!$G$72</definedName>
    <definedName name="П000010021107">'0503737'!$I$72</definedName>
    <definedName name="П000010021108">'0503737'!$K$72</definedName>
    <definedName name="П000010021109">'0503737'!$M$72</definedName>
    <definedName name="П000010021110">'0503737'!$O$72</definedName>
    <definedName name="П000010021204">'0503737'!$D$74</definedName>
    <definedName name="П000010021205">'0503737'!$E$74</definedName>
    <definedName name="П000010021206">'0503737'!$G$74</definedName>
    <definedName name="П000010021207">'0503737'!$I$74</definedName>
    <definedName name="П000010021208">'0503737'!$K$74</definedName>
    <definedName name="П000010021209">'0503737'!$M$74</definedName>
    <definedName name="П000010021210">'0503737'!$O$74</definedName>
    <definedName name="П000010023004">'0503737'!$D$79</definedName>
    <definedName name="П000010023005">'0503737'!$E$79</definedName>
    <definedName name="П000010023006">'0503737'!$G$79</definedName>
    <definedName name="П000010023007">'0503737'!$I$79</definedName>
    <definedName name="П000010023008">'0503737'!$K$79</definedName>
    <definedName name="П000010023009">'0503737'!$M$79</definedName>
    <definedName name="П000010023010">'0503737'!$O$79</definedName>
    <definedName name="П000010023204">'0503737'!$D$80</definedName>
    <definedName name="П000010023205">'0503737'!$E$80</definedName>
    <definedName name="П000010023206">'0503737'!$G$80</definedName>
    <definedName name="П000010023207">'0503737'!$I$80</definedName>
    <definedName name="П000010023208">'0503737'!$K$80</definedName>
    <definedName name="П000010023209">'0503737'!$M$80</definedName>
    <definedName name="П000010023210">'0503737'!$O$80</definedName>
    <definedName name="П000010023304">'0503737'!$D$82</definedName>
    <definedName name="П000010023305">'0503737'!$E$82</definedName>
    <definedName name="П000010023306">'0503737'!$G$82</definedName>
    <definedName name="П000010023307">'0503737'!$I$82</definedName>
    <definedName name="П000010023308">'0503737'!$K$82</definedName>
    <definedName name="П000010023309">'0503737'!$M$82</definedName>
    <definedName name="П000010023310">'0503737'!$O$82</definedName>
    <definedName name="П000010024004">'0503737'!$D$83</definedName>
    <definedName name="П000010024005">'0503737'!$E$83</definedName>
    <definedName name="П000010024006">'0503737'!$G$83</definedName>
    <definedName name="П000010024007">'0503737'!$I$83</definedName>
    <definedName name="П000010024008">'0503737'!$K$83</definedName>
    <definedName name="П000010024009">'0503737'!$M$83</definedName>
    <definedName name="П000010024010">'0503737'!$O$83</definedName>
    <definedName name="П000010024204">'0503737'!$D$84</definedName>
    <definedName name="П000010024205">'0503737'!$E$84</definedName>
    <definedName name="П000010024206">'0503737'!$G$84</definedName>
    <definedName name="П000010024207">'0503737'!$I$84</definedName>
    <definedName name="П000010024208">'0503737'!$K$84</definedName>
    <definedName name="П000010024209">'0503737'!$M$84</definedName>
    <definedName name="П000010024210">'0503737'!$O$84</definedName>
    <definedName name="П000010024304">'0503737'!$D$86</definedName>
    <definedName name="П000010024305">'0503737'!$E$86</definedName>
    <definedName name="П000010024306">'0503737'!$G$86</definedName>
    <definedName name="П000010024307">'0503737'!$I$86</definedName>
    <definedName name="П000010024308">'0503737'!$K$86</definedName>
    <definedName name="П000010024309">'0503737'!$M$86</definedName>
    <definedName name="П000010024310">'0503737'!$O$86</definedName>
    <definedName name="П000010025004">'0503737'!$D$87</definedName>
    <definedName name="П000010025005">'0503737'!$E$87</definedName>
    <definedName name="П000010025006">'0503737'!$G$87</definedName>
    <definedName name="П000010025007">'0503737'!$I$87</definedName>
    <definedName name="П000010025008">'0503737'!$K$87</definedName>
    <definedName name="П000010025009">'0503737'!$M$87</definedName>
    <definedName name="П000010025010">'0503737'!$O$87</definedName>
    <definedName name="П000010026004">'0503737'!$D$88</definedName>
    <definedName name="П000010026005">'0503737'!$E$88</definedName>
    <definedName name="П000010026006">'0503737'!$G$88</definedName>
    <definedName name="П000010026007">'0503737'!$I$88</definedName>
    <definedName name="П000010026008">'0503737'!$K$88</definedName>
    <definedName name="П000010026009">'0503737'!$M$88</definedName>
    <definedName name="П000010026010">'0503737'!$O$88</definedName>
    <definedName name="П000010026104">'0503737'!$D$89</definedName>
    <definedName name="П000010026105">'0503737'!$E$89</definedName>
    <definedName name="П000010026106">'0503737'!$G$89</definedName>
    <definedName name="П000010026107">'0503737'!$I$89</definedName>
    <definedName name="П000010026108">'0503737'!$K$89</definedName>
    <definedName name="П000010026109">'0503737'!$M$89</definedName>
    <definedName name="П000010026110">'0503737'!$O$89</definedName>
    <definedName name="П000010026204">'0503737'!$D$91</definedName>
    <definedName name="П000010026205">'0503737'!$E$91</definedName>
    <definedName name="П000010026206">'0503737'!$G$91</definedName>
    <definedName name="П000010026207">'0503737'!$I$91</definedName>
    <definedName name="П000010026208">'0503737'!$K$91</definedName>
    <definedName name="П000010026209">'0503737'!$M$91</definedName>
    <definedName name="П000010026210">'0503737'!$O$91</definedName>
    <definedName name="П000010026304">'0503737'!$D$92</definedName>
    <definedName name="П000010026305">'0503737'!$E$92</definedName>
    <definedName name="П000010026306">'0503737'!$G$92</definedName>
    <definedName name="П000010026307">'0503737'!$I$92</definedName>
    <definedName name="П000010026308">'0503737'!$K$92</definedName>
    <definedName name="П000010026309">'0503737'!$M$92</definedName>
    <definedName name="П000010026310">'0503737'!$O$92</definedName>
    <definedName name="П000010026404">'0503737'!$D$93</definedName>
    <definedName name="П000010026405">'0503737'!$E$93</definedName>
    <definedName name="П000010026406">'0503737'!$G$93</definedName>
    <definedName name="П000010026407">'0503737'!$I$93</definedName>
    <definedName name="П000010026408">'0503737'!$K$93</definedName>
    <definedName name="П000010026409">'0503737'!$M$93</definedName>
    <definedName name="П000010026410">'0503737'!$O$93</definedName>
    <definedName name="П000010027004">'0503737'!$D$94</definedName>
    <definedName name="П000010027005">'0503737'!$E$94</definedName>
    <definedName name="П000010027006">'0503737'!$G$94</definedName>
    <definedName name="П000010027007">'0503737'!$I$94</definedName>
    <definedName name="П000010027008">'0503737'!$K$94</definedName>
    <definedName name="П000010027009">'0503737'!$M$94</definedName>
    <definedName name="П000010027010">'0503737'!$O$94</definedName>
    <definedName name="П000010027104">'0503737'!$D$95</definedName>
    <definedName name="П000010027105">'0503737'!$E$95</definedName>
    <definedName name="П000010027106">'0503737'!$G$95</definedName>
    <definedName name="П000010027107">'0503737'!$I$95</definedName>
    <definedName name="П000010027108">'0503737'!$K$95</definedName>
    <definedName name="П000010027109">'0503737'!$M$95</definedName>
    <definedName name="П000010027110">'0503737'!$O$95</definedName>
    <definedName name="П000010027204">'0503737'!$D$97</definedName>
    <definedName name="П000010027205">'0503737'!$E$97</definedName>
    <definedName name="П000010027206">'0503737'!$G$97</definedName>
    <definedName name="П000010027207">'0503737'!$I$97</definedName>
    <definedName name="П000010027208">'0503737'!$K$97</definedName>
    <definedName name="П000010027209">'0503737'!$M$97</definedName>
    <definedName name="П000010027210">'0503737'!$O$97</definedName>
    <definedName name="П000010027304">'0503737'!$D$98</definedName>
    <definedName name="П000010027305">'0503737'!$E$98</definedName>
    <definedName name="П000010027306">'0503737'!$G$98</definedName>
    <definedName name="П000010027307">'0503737'!$I$98</definedName>
    <definedName name="П000010027308">'0503737'!$K$98</definedName>
    <definedName name="П000010027309">'0503737'!$M$98</definedName>
    <definedName name="П000010027310">'0503737'!$O$98</definedName>
    <definedName name="П000010030004">'0503737'!$D$99</definedName>
    <definedName name="П000010030005">'0503737'!$E$99</definedName>
    <definedName name="П000010030006">'0503737'!$G$99</definedName>
    <definedName name="П000010030007">'0503737'!$I$99</definedName>
    <definedName name="П000010030008">'0503737'!$K$99</definedName>
    <definedName name="П000010030009">'0503737'!$M$99</definedName>
    <definedName name="П000010030010">'0503737'!$O$99</definedName>
    <definedName name="П000010045004">'0503737'!$D$100</definedName>
    <definedName name="П000010045005">'0503737'!$E$100</definedName>
    <definedName name="П000010045006">'0503737'!$G$100</definedName>
    <definedName name="П000010045007">'0503737'!$I$100</definedName>
    <definedName name="П000010045008">'0503737'!$K$100</definedName>
    <definedName name="П000010045009">'0503737'!$M$100</definedName>
    <definedName name="П000010045010">'0503737'!$O$100</definedName>
    <definedName name="П000010050004">'0503737'!$D$107</definedName>
    <definedName name="П000010050005">'0503737'!$E$107</definedName>
    <definedName name="П000010050006">'0503737'!$G$107</definedName>
    <definedName name="П000010050007">'0503737'!$I$107</definedName>
    <definedName name="П000010050008">'0503737'!$K$107</definedName>
    <definedName name="П000010050009">'0503737'!$M$107</definedName>
    <definedName name="П000010050010">'0503737'!$O$107</definedName>
    <definedName name="П000010052004">'0503737'!$D$108</definedName>
    <definedName name="П000010052005">'0503737'!$E$108</definedName>
    <definedName name="П000010052006">'0503737'!$G$108</definedName>
    <definedName name="П000010052007">'0503737'!$I$108</definedName>
    <definedName name="П000010052008">'0503737'!$K$108</definedName>
    <definedName name="П000010052009">'0503737'!$M$108</definedName>
    <definedName name="П000010052010">'0503737'!$O$108</definedName>
    <definedName name="П000010052104">'0503737'!$D$110</definedName>
    <definedName name="П000010052105">'0503737'!$E$110</definedName>
    <definedName name="П000010052106">'0503737'!$G$110</definedName>
    <definedName name="П000010052107">'0503737'!$I$110</definedName>
    <definedName name="П000010052108">'0503737'!$K$110</definedName>
    <definedName name="П000010052109">'0503737'!$M$110</definedName>
    <definedName name="П000010052110">'0503737'!$O$110</definedName>
    <definedName name="П000010052204">'0503737'!$D$112</definedName>
    <definedName name="П000010052205">'0503737'!$E$112</definedName>
    <definedName name="П000010052206">'0503737'!$G$112</definedName>
    <definedName name="П000010052207">'0503737'!$I$112</definedName>
    <definedName name="П000010052208">'0503737'!$K$112</definedName>
    <definedName name="П000010052209">'0503737'!$M$112</definedName>
    <definedName name="П000010052210">'0503737'!$O$112</definedName>
    <definedName name="П000010052304">'0503737'!$D$113</definedName>
    <definedName name="П000010052305">'0503737'!$E$113</definedName>
    <definedName name="П000010052306">'0503737'!$G$113</definedName>
    <definedName name="П000010052307">'0503737'!$I$113</definedName>
    <definedName name="П000010052308">'0503737'!$K$113</definedName>
    <definedName name="П000010052309">'0503737'!$M$113</definedName>
    <definedName name="П000010052310">'0503737'!$O$113</definedName>
    <definedName name="П000010052404">'0503737'!$D$114</definedName>
    <definedName name="П000010052405">'0503737'!$E$114</definedName>
    <definedName name="П000010052406">'0503737'!$G$114</definedName>
    <definedName name="П000010052407">'0503737'!$I$114</definedName>
    <definedName name="П000010052408">'0503737'!$K$114</definedName>
    <definedName name="П000010052409">'0503737'!$M$114</definedName>
    <definedName name="П000010052410">'0503737'!$O$114</definedName>
    <definedName name="П000010052504">'0503737'!$D$115</definedName>
    <definedName name="П000010052505">'0503737'!$E$115</definedName>
    <definedName name="П000010052506">'0503737'!$G$115</definedName>
    <definedName name="П000010052507">'0503737'!$I$115</definedName>
    <definedName name="П000010052508">'0503737'!$K$115</definedName>
    <definedName name="П000010052509">'0503737'!$M$115</definedName>
    <definedName name="П000010052510">'0503737'!$O$115</definedName>
    <definedName name="П000010052604">'0503737'!$D$116</definedName>
    <definedName name="П000010052605">'0503737'!$E$116</definedName>
    <definedName name="П000010052606">'0503737'!$G$116</definedName>
    <definedName name="П000010052607">'0503737'!$I$116</definedName>
    <definedName name="П000010052608">'0503737'!$K$116</definedName>
    <definedName name="П000010052609">'0503737'!$M$116</definedName>
    <definedName name="П000010052610">'0503737'!$O$116</definedName>
    <definedName name="П000010052704">'0503737'!$D$117</definedName>
    <definedName name="П000010052705">'0503737'!$E$117</definedName>
    <definedName name="П000010052706">'0503737'!$G$117</definedName>
    <definedName name="П000010052707">'0503737'!$I$117</definedName>
    <definedName name="П000010052708">'0503737'!$K$117</definedName>
    <definedName name="П000010052709">'0503737'!$M$117</definedName>
    <definedName name="П000010052710">'0503737'!$O$117</definedName>
    <definedName name="П000010052804">'0503737'!$D$118</definedName>
    <definedName name="П000010052805">'0503737'!$E$118</definedName>
    <definedName name="П000010052806">'0503737'!$G$118</definedName>
    <definedName name="П000010052807">'0503737'!$I$118</definedName>
    <definedName name="П000010052808">'0503737'!$K$118</definedName>
    <definedName name="П000010052809">'0503737'!$M$118</definedName>
    <definedName name="П000010052810">'0503737'!$O$118</definedName>
    <definedName name="П000010062004">'0503737'!$D$119</definedName>
    <definedName name="П000010062005">'0503737'!$E$119</definedName>
    <definedName name="П000010062006">'0503737'!$G$119</definedName>
    <definedName name="П000010062007">'0503737'!$I$119</definedName>
    <definedName name="П000010062008">'0503737'!$K$119</definedName>
    <definedName name="П000010062009">'0503737'!$M$119</definedName>
    <definedName name="П000010062010">'0503737'!$O$119</definedName>
    <definedName name="П000010062104">'0503737'!$D$120</definedName>
    <definedName name="П000010062105">'0503737'!$E$120</definedName>
    <definedName name="П000010062106">'0503737'!$G$120</definedName>
    <definedName name="П000010062107">'0503737'!$I$120</definedName>
    <definedName name="П000010062108">'0503737'!$K$120</definedName>
    <definedName name="П000010062109">'0503737'!$M$120</definedName>
    <definedName name="П000010062110">'0503737'!$O$120</definedName>
    <definedName name="П000010062204">'0503737'!$D$122</definedName>
    <definedName name="П000010062205">'0503737'!$E$122</definedName>
    <definedName name="П000010062206">'0503737'!$G$122</definedName>
    <definedName name="П000010062207">'0503737'!$I$122</definedName>
    <definedName name="П000010062208">'0503737'!$K$122</definedName>
    <definedName name="П000010062209">'0503737'!$M$122</definedName>
    <definedName name="П000010062210">'0503737'!$O$122</definedName>
    <definedName name="П000010062504">'0503737'!$D$123</definedName>
    <definedName name="П000010062505">'0503737'!$E$123</definedName>
    <definedName name="П000010062506">'0503737'!$G$123</definedName>
    <definedName name="П000010062507">'0503737'!$I$123</definedName>
    <definedName name="П000010062508">'0503737'!$K$123</definedName>
    <definedName name="П000010062509">'0503737'!$M$123</definedName>
    <definedName name="П000010062510">'0503737'!$O$123</definedName>
    <definedName name="П000010062604">'0503737'!$D$124</definedName>
    <definedName name="П000010062605">'0503737'!$E$124</definedName>
    <definedName name="П000010062606">'0503737'!$G$124</definedName>
    <definedName name="П000010062607">'0503737'!$I$124</definedName>
    <definedName name="П000010062608">'0503737'!$K$124</definedName>
    <definedName name="П000010062609">'0503737'!$M$124</definedName>
    <definedName name="П000010062610">'0503737'!$O$124</definedName>
    <definedName name="П000010070004">'0503737'!$D$125</definedName>
    <definedName name="П000010070005">'0503737'!$E$125</definedName>
    <definedName name="П000010070006">'0503737'!$G$125</definedName>
    <definedName name="П000010070007">'0503737'!$I$125</definedName>
    <definedName name="П000010070008">'0503737'!$K$125</definedName>
    <definedName name="П000010070009">'0503737'!$M$125</definedName>
    <definedName name="П000010070010">'0503737'!$O$125</definedName>
    <definedName name="П000010071004">'0503737'!$D$126</definedName>
    <definedName name="П000010071005">'0503737'!$E$126</definedName>
    <definedName name="П000010071006">'0503737'!$G$126</definedName>
    <definedName name="П000010071007">'0503737'!$I$126</definedName>
    <definedName name="П000010071008">'0503737'!$K$126</definedName>
    <definedName name="П000010071009">'0503737'!$M$126</definedName>
    <definedName name="П000010071010">'0503737'!$O$126</definedName>
    <definedName name="П000010072004">'0503737'!$D$127</definedName>
    <definedName name="П000010072005">'0503737'!$E$127</definedName>
    <definedName name="П000010072006">'0503737'!$G$127</definedName>
    <definedName name="П000010072007">'0503737'!$I$127</definedName>
    <definedName name="П000010072008">'0503737'!$K$127</definedName>
    <definedName name="П000010072009">'0503737'!$M$127</definedName>
    <definedName name="П000010072010">'0503737'!$O$127</definedName>
    <definedName name="П000010073004">'0503737'!$D$128</definedName>
    <definedName name="П000010073005">'0503737'!$E$128</definedName>
    <definedName name="П000010073006">'0503737'!$G$128</definedName>
    <definedName name="П000010073007">'0503737'!$I$128</definedName>
    <definedName name="П000010073008">'0503737'!$K$128</definedName>
    <definedName name="П000010073009">'0503737'!$M$128</definedName>
    <definedName name="П000010073010">'0503737'!$O$128</definedName>
    <definedName name="П000010073104">'0503737'!$D$129</definedName>
    <definedName name="П000010073105">'0503737'!$E$129</definedName>
    <definedName name="П000010073106">'0503737'!$G$129</definedName>
    <definedName name="П000010073107">'0503737'!$I$129</definedName>
    <definedName name="П000010073108">'0503737'!$K$129</definedName>
    <definedName name="П000010073109">'0503737'!$M$129</definedName>
    <definedName name="П000010073110">'0503737'!$O$129</definedName>
    <definedName name="П000010073204">'0503737'!$D$131</definedName>
    <definedName name="П000010073205">'0503737'!$E$131</definedName>
    <definedName name="П000010073206">'0503737'!$G$131</definedName>
    <definedName name="П000010073207">'0503737'!$I$131</definedName>
    <definedName name="П000010073208">'0503737'!$K$131</definedName>
    <definedName name="П000010073209">'0503737'!$M$131</definedName>
    <definedName name="П000010073210">'0503737'!$O$131</definedName>
    <definedName name="П000010082004">'0503737'!$D$136</definedName>
    <definedName name="П000010082005">'0503737'!$E$136</definedName>
    <definedName name="П000010082006">'0503737'!$G$136</definedName>
    <definedName name="П000010082007">'0503737'!$I$136</definedName>
    <definedName name="П000010082008">'0503737'!$K$136</definedName>
    <definedName name="П000010082009">'0503737'!$M$136</definedName>
    <definedName name="П000010082010">'0503737'!$O$136</definedName>
    <definedName name="П000010082104">'0503737'!$D$137</definedName>
    <definedName name="П000010082105">'0503737'!$E$137</definedName>
    <definedName name="П000010082106">'0503737'!$G$137</definedName>
    <definedName name="П000010082107">'0503737'!$I$137</definedName>
    <definedName name="П000010082108">'0503737'!$K$137</definedName>
    <definedName name="П000010082109">'0503737'!$M$137</definedName>
    <definedName name="П000010082110">'0503737'!$O$137</definedName>
    <definedName name="П000010082204">'0503737'!$D$139</definedName>
    <definedName name="П000010082205">'0503737'!$E$139</definedName>
    <definedName name="П000010082206">'0503737'!$G$139</definedName>
    <definedName name="П000010082207">'0503737'!$I$139</definedName>
    <definedName name="П000010082208">'0503737'!$K$139</definedName>
    <definedName name="П000010082209">'0503737'!$M$139</definedName>
    <definedName name="П000010082210">'0503737'!$O$139</definedName>
    <definedName name="П000010083004">'0503737'!$D$140</definedName>
    <definedName name="П000010083005">'0503737'!$E$140</definedName>
    <definedName name="П000010083006">'0503737'!$G$140</definedName>
    <definedName name="П000010083007">'0503737'!$I$140</definedName>
    <definedName name="П000010083008">'0503737'!$K$140</definedName>
    <definedName name="П000010083009">'0503737'!$M$140</definedName>
    <definedName name="П000010083010">'0503737'!$O$140</definedName>
    <definedName name="П000010083104">'0503737'!$D$141</definedName>
    <definedName name="П000010083105">'0503737'!$E$141</definedName>
    <definedName name="П000010083106">'0503737'!$G$141</definedName>
    <definedName name="П000010083107">'0503737'!$I$141</definedName>
    <definedName name="П000010083108">'0503737'!$K$141</definedName>
    <definedName name="П000010083109">'0503737'!$M$141</definedName>
    <definedName name="П000010083110">'0503737'!$O$141</definedName>
    <definedName name="П000010083204">'0503737'!$D$143</definedName>
    <definedName name="П000010083205">'0503737'!$E$143</definedName>
    <definedName name="П000010083206">'0503737'!$G$143</definedName>
    <definedName name="П000010083207">'0503737'!$I$143</definedName>
    <definedName name="П000010083208">'0503737'!$K$143</definedName>
    <definedName name="П000010083209">'0503737'!$M$143</definedName>
    <definedName name="П000010083210">'0503737'!$O$143</definedName>
    <definedName name="П000010090004">'0503737'!$D$149</definedName>
    <definedName name="П000010090005">'0503737'!$E$149</definedName>
    <definedName name="П000010090006">'0503737'!$G$149</definedName>
    <definedName name="П000010090007">'0503737'!$I$149</definedName>
    <definedName name="П000010090008">'0503737'!$K$149</definedName>
    <definedName name="РукЦБ">#REF!</definedName>
    <definedName name="ТелОтпр">#REF!</definedName>
    <definedName name="ФИОБух">#REF!</definedName>
    <definedName name="ФИООтпр">#REF!</definedName>
    <definedName name="ФИОРук">#REF!</definedName>
    <definedName name="ФИОРукФин">#REF!</definedName>
  </definedNames>
  <calcPr fullCalcOnLoad="1"/>
</workbook>
</file>

<file path=xl/sharedStrings.xml><?xml version="1.0" encoding="utf-8"?>
<sst xmlns="http://schemas.openxmlformats.org/spreadsheetml/2006/main" count="369" uniqueCount="243">
  <si>
    <t xml:space="preserve">383 </t>
  </si>
  <si>
    <t>КОДЫ</t>
  </si>
  <si>
    <t>Единица измерения: руб</t>
  </si>
  <si>
    <t>Учреждение</t>
  </si>
  <si>
    <t>Обособленное подразделение</t>
  </si>
  <si>
    <t>Учредитель</t>
  </si>
  <si>
    <t>ОТЧЕТ
ОБ ИСПОЛНЕНИИ УЧРЕЖДЕНИЕМ ПЛАНА ЕГО ФИНАНСОВО-ХОЗЯЙСТВЕННОЙ ДЕЯТЕЛЬНОСТИ</t>
  </si>
  <si>
    <t>Наименование органа, осуществляющего полномочия учредителя</t>
  </si>
  <si>
    <t>Периодичность: квартальная, годовая</t>
  </si>
  <si>
    <t>Вид финансового обеспечения (деятельности)</t>
  </si>
  <si>
    <t>Наименование показателя</t>
  </si>
  <si>
    <t>Код строки</t>
  </si>
  <si>
    <t xml:space="preserve">Исполнено плановых назначений 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</si>
  <si>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</si>
  <si>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</si>
  <si>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</si>
  <si>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</si>
  <si>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</si>
  <si>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Код анали-тики</t>
  </si>
  <si>
    <t>1. Доходы учреждения</t>
  </si>
  <si>
    <t>0503737</t>
  </si>
  <si>
    <r>
      <t>Доходы</t>
    </r>
    <r>
      <rPr>
        <sz val="8"/>
        <rFont val="Arial Cyr"/>
        <family val="0"/>
      </rPr>
      <t xml:space="preserve"> - всего</t>
    </r>
  </si>
  <si>
    <t>из них:</t>
  </si>
  <si>
    <t>от аренды активов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</si>
  <si>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</si>
  <si>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</si>
  <si>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</si>
  <si>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</si>
  <si>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Доходы от 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</si>
  <si>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</si>
  <si>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</si>
  <si>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</si>
  <si>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</si>
  <si>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</si>
  <si>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</si>
  <si>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</si>
  <si>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</si>
  <si>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010</t>
  </si>
  <si>
    <t>030</t>
  </si>
  <si>
    <t>101</t>
  </si>
  <si>
    <t>040</t>
  </si>
  <si>
    <t>050</t>
  </si>
  <si>
    <t>060</t>
  </si>
  <si>
    <t>062</t>
  </si>
  <si>
    <t>063</t>
  </si>
  <si>
    <t>090</t>
  </si>
  <si>
    <t>092</t>
  </si>
  <si>
    <t>093</t>
  </si>
  <si>
    <t>094</t>
  </si>
  <si>
    <t>095</t>
  </si>
  <si>
    <t>096</t>
  </si>
  <si>
    <t>097</t>
  </si>
  <si>
    <t>098</t>
  </si>
  <si>
    <t>Прочие доходы</t>
  </si>
  <si>
    <t>100</t>
  </si>
  <si>
    <t>102</t>
  </si>
  <si>
    <t>103</t>
  </si>
  <si>
    <t>104</t>
  </si>
  <si>
    <t>х</t>
  </si>
  <si>
    <t>410</t>
  </si>
  <si>
    <t>420</t>
  </si>
  <si>
    <t>430</t>
  </si>
  <si>
    <t>440</t>
  </si>
  <si>
    <t>620</t>
  </si>
  <si>
    <t>630</t>
  </si>
  <si>
    <t>650</t>
  </si>
  <si>
    <t>180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</si>
  <si>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</si>
  <si>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</si>
  <si>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</si>
  <si>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</si>
  <si>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</si>
  <si>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</si>
  <si>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</si>
  <si>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</si>
  <si>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</si>
  <si>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</si>
  <si>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r>
      <t xml:space="preserve">Расходы - </t>
    </r>
    <r>
      <rPr>
        <sz val="8"/>
        <rFont val="Arial Cyr"/>
        <family val="0"/>
      </rPr>
      <t>всего</t>
    </r>
  </si>
  <si>
    <t>Доходы от собственности</t>
  </si>
  <si>
    <t>2. Расходы учреждения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</si>
  <si>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</si>
  <si>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</si>
  <si>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</si>
  <si>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</si>
  <si>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</si>
  <si>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200</t>
  </si>
  <si>
    <t>160</t>
  </si>
  <si>
    <t>161</t>
  </si>
  <si>
    <t>162</t>
  </si>
  <si>
    <t>163</t>
  </si>
  <si>
    <t>170</t>
  </si>
  <si>
    <t>171</t>
  </si>
  <si>
    <t>172</t>
  </si>
  <si>
    <t>173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</si>
  <si>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</si>
  <si>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</si>
  <si>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</si>
  <si>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</si>
  <si>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</si>
  <si>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</si>
  <si>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</si>
  <si>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</si>
  <si>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</si>
  <si>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</si>
  <si>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</si>
  <si>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</si>
  <si>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</si>
  <si>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</si>
  <si>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</si>
  <si>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</si>
  <si>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</si>
  <si>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</si>
  <si>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</si>
  <si>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</si>
  <si>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</si>
  <si>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</si>
  <si>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</si>
  <si>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Безвозмездные перечисления бюджетам</t>
  </si>
  <si>
    <t>перечисления наднациональным организациям  и правительствам иностранных государств</t>
  </si>
  <si>
    <t>перечисления международным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</si>
  <si>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</si>
  <si>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</si>
  <si>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</si>
  <si>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</si>
  <si>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</si>
  <si>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</si>
  <si>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</si>
  <si>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ценных бумаг, кроме акций</t>
  </si>
  <si>
    <t>акций и иных форм участия в капитале</t>
  </si>
  <si>
    <t>иных финансовых активов</t>
  </si>
  <si>
    <t>Результат исполнения (дефицит/профицит)</t>
  </si>
  <si>
    <t>Социальное обеспечение</t>
  </si>
  <si>
    <t>233</t>
  </si>
  <si>
    <t>243</t>
  </si>
  <si>
    <t>250</t>
  </si>
  <si>
    <t>260</t>
  </si>
  <si>
    <t>261</t>
  </si>
  <si>
    <t>262</t>
  </si>
  <si>
    <t>263</t>
  </si>
  <si>
    <t>264</t>
  </si>
  <si>
    <t>270</t>
  </si>
  <si>
    <t>271</t>
  </si>
  <si>
    <t>272</t>
  </si>
  <si>
    <t>273</t>
  </si>
  <si>
    <t>450</t>
  </si>
  <si>
    <t>252</t>
  </si>
  <si>
    <t>253</t>
  </si>
  <si>
    <t>290</t>
  </si>
  <si>
    <t>300</t>
  </si>
  <si>
    <t>310</t>
  </si>
  <si>
    <t>320</t>
  </si>
  <si>
    <t>330</t>
  </si>
  <si>
    <t>340</t>
  </si>
  <si>
    <t>500</t>
  </si>
  <si>
    <t>520</t>
  </si>
  <si>
    <t>530</t>
  </si>
  <si>
    <t>550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</si>
  <si>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</si>
  <si>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</si>
  <si>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</si>
  <si>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выплаты по предоставлению займов (ссуд)</t>
  </si>
  <si>
    <t>поступление заимствований от резидентов</t>
  </si>
  <si>
    <t>погашение заимствований от нерезидентов</t>
  </si>
  <si>
    <t>Внешние источники</t>
  </si>
  <si>
    <t>поступления от погашения займов (ссуд)</t>
  </si>
  <si>
    <t>поступления заимствований от 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</si>
  <si>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</si>
  <si>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</si>
  <si>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</si>
  <si>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</si>
  <si>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увеличение остатков средств учреждения</t>
  </si>
  <si>
    <t>уменьшение остатков средств учреждения</t>
  </si>
  <si>
    <t>Внутренние источники</t>
  </si>
  <si>
    <t xml:space="preserve">Изменения остатков по внутренним расчетам 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</si>
  <si>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</si>
  <si>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</si>
  <si>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03040600)</t>
  </si>
  <si>
    <t>уменьшение остатков по внутренним расчетам (Дт 030404610)</t>
  </si>
  <si>
    <t>(подпись)</t>
  </si>
  <si>
    <t>(расшифровка подписи)</t>
  </si>
  <si>
    <t>Руководитель</t>
  </si>
  <si>
    <t xml:space="preserve"> (должность)</t>
  </si>
  <si>
    <t xml:space="preserve"> (расшифровка подписи)</t>
  </si>
  <si>
    <t>Исполнитель</t>
  </si>
  <si>
    <t xml:space="preserve"> (телефон, e-mail)</t>
  </si>
  <si>
    <t>031</t>
  </si>
  <si>
    <t xml:space="preserve">                  Форма по ОКУД </t>
  </si>
  <si>
    <t>3. Источники финансирования дефицита средств учреждения</t>
  </si>
  <si>
    <t>Утверждено плановых назначений</t>
  </si>
  <si>
    <t>через лицевые счета</t>
  </si>
  <si>
    <t>от выбытий иных финансовых активов</t>
  </si>
  <si>
    <t>x</t>
  </si>
  <si>
    <t>транспортные услуги</t>
  </si>
  <si>
    <t>Расходы по приобретению нефинансовых активов</t>
  </si>
  <si>
    <t>Расходы по приобретению финансовых активов</t>
  </si>
  <si>
    <t>Форма 0503737 с. 2</t>
  </si>
  <si>
    <t>Форма 0503737 с. 3</t>
  </si>
  <si>
    <t>Форма 0503737 с. 4</t>
  </si>
  <si>
    <t>Форма 0503737 с. 5</t>
  </si>
  <si>
    <t>увеличение остатков по внутренним расчетам (Кт 030404510)</t>
  </si>
  <si>
    <t>курсовая разница</t>
  </si>
  <si>
    <t>погашение заимствований от резидентов</t>
  </si>
  <si>
    <r>
      <t xml:space="preserve">Источники дефицита средств - </t>
    </r>
    <r>
      <rPr>
        <sz val="8"/>
        <rFont val="Arial Cyr"/>
        <family val="0"/>
      </rPr>
      <t>всего (стр. 520 + стр. 620 + стр. 700 + стр. 730+стр. 820 + стр. 830)</t>
    </r>
  </si>
  <si>
    <t xml:space="preserve">             Дата </t>
  </si>
  <si>
    <t xml:space="preserve">        по ОКПО </t>
  </si>
  <si>
    <t xml:space="preserve">      по ОКТМО </t>
  </si>
  <si>
    <t xml:space="preserve">  Глава по БК </t>
  </si>
  <si>
    <t xml:space="preserve">         по ОКЕИ </t>
  </si>
  <si>
    <t>Возвраты расходов и выплат обеспечений прошлых лет
стр.300 (гр.5-9) = стр.900 (гр.4-8)</t>
  </si>
  <si>
    <t>Форма 0503737 с. 6</t>
  </si>
  <si>
    <t>4. Сведения о возвратах расходов и выплат обеспечений прошлых лет</t>
  </si>
  <si>
    <r>
      <t xml:space="preserve">Возвращено расходов и обеспечений прошлых лет - </t>
    </r>
    <r>
      <rPr>
        <sz val="8"/>
        <rFont val="Arial Cyr"/>
        <family val="0"/>
      </rPr>
      <t>всего</t>
    </r>
  </si>
  <si>
    <t>Произведено возвратов</t>
  </si>
  <si>
    <t>Итого</t>
  </si>
  <si>
    <t xml:space="preserve">   экономической службы</t>
  </si>
  <si>
    <t xml:space="preserve"> (наименование, ОГРН, ИНН, КПП, местонахождение )</t>
  </si>
  <si>
    <t>(уполномоченное лицо)</t>
  </si>
  <si>
    <t xml:space="preserve">   Руководитель финансово-</t>
  </si>
  <si>
    <t>Централизованная бухгалтерия</t>
  </si>
  <si>
    <t>Главный бухгалтер  ___________________________</t>
  </si>
  <si>
    <t xml:space="preserve">                                                 (подпись)</t>
  </si>
  <si>
    <t>(должность)</t>
  </si>
  <si>
    <t>Руководитель  _______________________________</t>
  </si>
  <si>
    <t>безвозмездное перечисление организациям, за исключением государственных и муниципальных организаций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</si>
  <si>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</si>
  <si>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</si>
  <si>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</si>
  <si>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</si>
  <si>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"     "   _______________________   20____г.</t>
  </si>
  <si>
    <t>01.07.2015</t>
  </si>
  <si>
    <t>на 01 июля 2015 г.</t>
  </si>
  <si>
    <t>Коротаев Александр Владимирович</t>
  </si>
  <si>
    <t>Чеботаева Татьяна Павловна</t>
  </si>
  <si>
    <t/>
  </si>
  <si>
    <t>МБОУ"Средняя школа №1" р.п.Бисерть(бюдж)</t>
  </si>
  <si>
    <t>квартальная</t>
  </si>
  <si>
    <t>55773120</t>
  </si>
  <si>
    <t>65228558000</t>
  </si>
  <si>
    <t>Отдел образования функциональный орган администрации Бисертского городского округа</t>
  </si>
  <si>
    <t>субсидии на выполнение государственного (муниципального) задания</t>
  </si>
  <si>
    <t>Учреждения: 2 - МБОУ"Средняя школа №1" р.п.Бисерть(бюдж)</t>
  </si>
  <si>
    <t>Все источники</t>
  </si>
  <si>
    <t>10 сентября 2015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</si>
</sst>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;\(0\)"/>
    <numFmt numFmtId="173" formatCode="\(0\);\(0\);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d\ mmmm\,\ yyyy"/>
    <numFmt numFmtId="182" formatCode="#,##0.000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0.0"/>
    <numFmt numFmtId="190" formatCode="0.00000"/>
    <numFmt numFmtId="191" formatCode="#,##0.00000"/>
    <numFmt numFmtId="192" formatCode="[$-FC19]d\ mmmm\ yyyy\ &quot;г.&quot;"/>
    <numFmt numFmtId="193" formatCode="d\ mmmm\ yyyy\ &quot;г&quot;/"/>
    <numFmt numFmtId="194" formatCode="d\ mmm\ yyyy\ &quot;г&quot;/"/>
    <numFmt numFmtId="195" formatCode="d\ mmm/\ yyyy\ &quot;г&quot;/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.00;\-#,##0.00;"/>
    <numFmt numFmtId="205" formatCode="#,##0;\-#,##0;"/>
    <numFmt numFmtId="206" formatCode="#,##0.0"/>
    <numFmt numFmtId="207" formatCode="0.0000"/>
    <numFmt numFmtId="208" formatCode="000,000,000,000\1"/>
    <numFmt numFmtId="209" formatCode="[&lt;=9999999]###\-####;\(###\)\ ###\-####"/>
    <numFmt numFmtId="210" formatCode="##,###,###,###,###,###,###"/>
    <numFmt numFmtId="211" formatCode="##,###,###,###,###,###,###;@"/>
    <numFmt numFmtId="212" formatCode="#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2"/>
    </font>
    <font>
      <sz val="10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9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20" fillId="0" borderId="11" xfId="0" applyNumberFormat="1" applyFont="1" applyBorder="1" applyAlignment="1">
      <alignment horizontal="center" shrinkToFit="1"/>
    </xf>
    <xf numFmtId="0" fontId="20" fillId="0" borderId="0" xfId="0" applyFont="1" applyAlignment="1">
      <alignment horizontal="left"/>
    </xf>
    <xf numFmtId="49" fontId="20" fillId="0" borderId="12" xfId="0" applyNumberFormat="1" applyFont="1" applyBorder="1" applyAlignment="1">
      <alignment horizontal="center" shrinkToFit="1"/>
    </xf>
    <xf numFmtId="49" fontId="0" fillId="0" borderId="12" xfId="0" applyNumberFormat="1" applyFill="1" applyBorder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0" fillId="0" borderId="13" xfId="0" applyNumberFormat="1" applyFont="1" applyBorder="1" applyAlignment="1">
      <alignment horizontal="center" shrinkToFit="1"/>
    </xf>
    <xf numFmtId="49" fontId="20" fillId="0" borderId="0" xfId="0" applyNumberFormat="1" applyFont="1" applyBorder="1" applyAlignment="1">
      <alignment horizontal="center" shrinkToFit="1"/>
    </xf>
    <xf numFmtId="0" fontId="20" fillId="0" borderId="0" xfId="0" applyNumberFormat="1" applyFont="1" applyBorder="1" applyAlignment="1">
      <alignment wrapText="1"/>
    </xf>
    <xf numFmtId="0" fontId="20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43" fontId="20" fillId="18" borderId="18" xfId="0" applyNumberFormat="1" applyFont="1" applyFill="1" applyBorder="1" applyAlignment="1">
      <alignment horizontal="right" shrinkToFit="1"/>
    </xf>
    <xf numFmtId="43" fontId="20" fillId="18" borderId="23" xfId="0" applyNumberFormat="1" applyFont="1" applyFill="1" applyBorder="1" applyAlignment="1">
      <alignment horizontal="right" shrinkToFit="1"/>
    </xf>
    <xf numFmtId="43" fontId="20" fillId="0" borderId="14" xfId="0" applyNumberFormat="1" applyFont="1" applyBorder="1" applyAlignment="1" applyProtection="1">
      <alignment horizontal="right" shrinkToFit="1"/>
      <protection locked="0"/>
    </xf>
    <xf numFmtId="43" fontId="20" fillId="18" borderId="24" xfId="0" applyNumberFormat="1" applyFont="1" applyFill="1" applyBorder="1" applyAlignment="1">
      <alignment horizontal="right" shrinkToFit="1"/>
    </xf>
    <xf numFmtId="43" fontId="20" fillId="18" borderId="25" xfId="0" applyNumberFormat="1" applyFont="1" applyFill="1" applyBorder="1" applyAlignment="1">
      <alignment horizontal="right" shrinkToFit="1"/>
    </xf>
    <xf numFmtId="43" fontId="20" fillId="0" borderId="15" xfId="0" applyNumberFormat="1" applyFont="1" applyBorder="1" applyAlignment="1" applyProtection="1">
      <alignment horizontal="right" shrinkToFit="1"/>
      <protection locked="0"/>
    </xf>
    <xf numFmtId="43" fontId="20" fillId="18" borderId="14" xfId="0" applyNumberFormat="1" applyFont="1" applyFill="1" applyBorder="1" applyAlignment="1" applyProtection="1">
      <alignment horizontal="right" shrinkToFit="1"/>
      <protection/>
    </xf>
    <xf numFmtId="43" fontId="20" fillId="0" borderId="10" xfId="0" applyNumberFormat="1" applyFont="1" applyBorder="1" applyAlignment="1" applyProtection="1">
      <alignment horizontal="right" shrinkToFit="1"/>
      <protection locked="0"/>
    </xf>
    <xf numFmtId="43" fontId="20" fillId="18" borderId="26" xfId="0" applyNumberFormat="1" applyFont="1" applyFill="1" applyBorder="1" applyAlignment="1">
      <alignment horizontal="right" shrinkToFit="1"/>
    </xf>
    <xf numFmtId="43" fontId="20" fillId="18" borderId="18" xfId="0" applyNumberFormat="1" applyFont="1" applyFill="1" applyBorder="1" applyAlignment="1" applyProtection="1">
      <alignment horizontal="right" shrinkToFit="1"/>
      <protection/>
    </xf>
    <xf numFmtId="43" fontId="20" fillId="18" borderId="15" xfId="0" applyNumberFormat="1" applyFont="1" applyFill="1" applyBorder="1" applyAlignment="1" applyProtection="1">
      <alignment horizontal="right" shrinkToFit="1"/>
      <protection/>
    </xf>
    <xf numFmtId="43" fontId="20" fillId="18" borderId="21" xfId="0" applyNumberFormat="1" applyFont="1" applyFill="1" applyBorder="1" applyAlignment="1">
      <alignment horizontal="right" shrinkToFit="1"/>
    </xf>
    <xf numFmtId="43" fontId="20" fillId="15" borderId="14" xfId="0" applyNumberFormat="1" applyFont="1" applyFill="1" applyBorder="1" applyAlignment="1" applyProtection="1">
      <alignment horizontal="right" shrinkToFit="1"/>
      <protection locked="0"/>
    </xf>
    <xf numFmtId="43" fontId="20" fillId="0" borderId="27" xfId="0" applyNumberFormat="1" applyFont="1" applyFill="1" applyBorder="1" applyAlignment="1">
      <alignment horizontal="center" shrinkToFit="1"/>
    </xf>
    <xf numFmtId="43" fontId="20" fillId="0" borderId="24" xfId="0" applyNumberFormat="1" applyFont="1" applyFill="1" applyBorder="1" applyAlignment="1">
      <alignment horizontal="center" shrinkToFit="1"/>
    </xf>
    <xf numFmtId="49" fontId="20" fillId="0" borderId="12" xfId="0" applyNumberFormat="1" applyFont="1" applyBorder="1" applyAlignment="1" applyProtection="1">
      <alignment horizontal="center"/>
      <protection/>
    </xf>
    <xf numFmtId="49" fontId="20" fillId="0" borderId="28" xfId="0" applyNumberFormat="1" applyFont="1" applyBorder="1" applyAlignment="1" applyProtection="1">
      <alignment horizontal="center" shrinkToFit="1"/>
      <protection/>
    </xf>
    <xf numFmtId="0" fontId="0" fillId="0" borderId="29" xfId="0" applyBorder="1" applyAlignment="1">
      <alignment/>
    </xf>
    <xf numFmtId="0" fontId="20" fillId="0" borderId="30" xfId="0" applyFont="1" applyBorder="1" applyAlignment="1">
      <alignment horizontal="center" vertical="center"/>
    </xf>
    <xf numFmtId="43" fontId="20" fillId="0" borderId="26" xfId="0" applyNumberFormat="1" applyFont="1" applyFill="1" applyBorder="1" applyAlignment="1">
      <alignment horizontal="center" shrinkToFit="1"/>
    </xf>
    <xf numFmtId="0" fontId="20" fillId="0" borderId="31" xfId="0" applyFont="1" applyBorder="1" applyAlignment="1">
      <alignment horizontal="right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/>
    </xf>
    <xf numFmtId="43" fontId="20" fillId="0" borderId="33" xfId="0" applyNumberFormat="1" applyFont="1" applyBorder="1" applyAlignment="1" applyProtection="1">
      <alignment horizontal="right" shrinkToFit="1"/>
      <protection locked="0"/>
    </xf>
    <xf numFmtId="49" fontId="20" fillId="0" borderId="34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 indent="2"/>
    </xf>
    <xf numFmtId="43" fontId="20" fillId="0" borderId="0" xfId="0" applyNumberFormat="1" applyFont="1" applyBorder="1" applyAlignment="1" applyProtection="1">
      <alignment horizontal="right" shrinkToFit="1"/>
      <protection locked="0"/>
    </xf>
    <xf numFmtId="43" fontId="20" fillId="0" borderId="0" xfId="0" applyNumberFormat="1" applyFont="1" applyFill="1" applyBorder="1" applyAlignment="1">
      <alignment horizontal="center" shrinkToFit="1"/>
    </xf>
    <xf numFmtId="43" fontId="20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4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 shrinkToFit="1"/>
      <protection/>
    </xf>
    <xf numFmtId="0" fontId="24" fillId="0" borderId="0" xfId="0" applyNumberFormat="1" applyFont="1" applyFill="1" applyBorder="1" applyAlignment="1" applyProtection="1">
      <alignment horizontal="center" shrinkToFit="1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43" fontId="20" fillId="18" borderId="14" xfId="0" applyNumberFormat="1" applyFont="1" applyFill="1" applyBorder="1" applyAlignment="1">
      <alignment horizontal="right" shrinkToFit="1"/>
    </xf>
    <xf numFmtId="0" fontId="20" fillId="0" borderId="0" xfId="0" applyFont="1" applyAlignment="1">
      <alignment horizontal="left" wrapText="1"/>
    </xf>
    <xf numFmtId="0" fontId="20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wrapText="1"/>
    </xf>
    <xf numFmtId="0" fontId="21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 wrapText="1"/>
    </xf>
    <xf numFmtId="43" fontId="20" fillId="0" borderId="14" xfId="0" applyNumberFormat="1" applyFont="1" applyFill="1" applyBorder="1" applyAlignment="1" applyProtection="1">
      <alignment horizontal="right" shrinkToFit="1"/>
      <protection/>
    </xf>
    <xf numFmtId="0" fontId="23" fillId="0" borderId="0" xfId="0" applyFont="1" applyAlignment="1">
      <alignment horizontal="left"/>
    </xf>
    <xf numFmtId="0" fontId="22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2" fillId="0" borderId="39" xfId="0" applyFont="1" applyBorder="1" applyAlignment="1">
      <alignment horizontal="left" wrapText="1"/>
    </xf>
    <xf numFmtId="0" fontId="20" fillId="0" borderId="41" xfId="0" applyFont="1" applyBorder="1" applyAlignment="1">
      <alignment horizontal="left" wrapText="1"/>
    </xf>
    <xf numFmtId="0" fontId="20" fillId="0" borderId="42" xfId="0" applyFont="1" applyBorder="1" applyAlignment="1">
      <alignment horizontal="left"/>
    </xf>
    <xf numFmtId="0" fontId="0" fillId="0" borderId="0" xfId="0" applyAlignment="1">
      <alignment/>
    </xf>
    <xf numFmtId="0" fontId="22" fillId="0" borderId="0" xfId="0" applyFont="1" applyBorder="1" applyAlignment="1">
      <alignment horizontal="left" wrapText="1"/>
    </xf>
    <xf numFmtId="0" fontId="22" fillId="0" borderId="43" xfId="0" applyFont="1" applyBorder="1" applyAlignment="1">
      <alignment horizontal="left" wrapText="1"/>
    </xf>
    <xf numFmtId="0" fontId="20" fillId="0" borderId="44" xfId="0" applyFont="1" applyBorder="1" applyAlignment="1">
      <alignment horizontal="left" wrapText="1"/>
    </xf>
    <xf numFmtId="0" fontId="20" fillId="0" borderId="45" xfId="0" applyFont="1" applyBorder="1" applyAlignment="1">
      <alignment horizontal="left" wrapText="1"/>
    </xf>
    <xf numFmtId="0" fontId="21" fillId="0" borderId="46" xfId="0" applyFont="1" applyBorder="1" applyAlignment="1">
      <alignment horizontal="left"/>
    </xf>
    <xf numFmtId="0" fontId="20" fillId="0" borderId="42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47" xfId="0" applyFont="1" applyBorder="1" applyAlignment="1">
      <alignment horizontal="left" wrapText="1"/>
    </xf>
    <xf numFmtId="0" fontId="20" fillId="0" borderId="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20" fillId="0" borderId="0" xfId="0" applyFont="1" applyAlignment="1">
      <alignment wrapText="1"/>
    </xf>
    <xf numFmtId="43" fontId="20" fillId="0" borderId="48" xfId="0" applyNumberFormat="1" applyFont="1" applyFill="1" applyBorder="1" applyAlignment="1" applyProtection="1">
      <alignment horizontal="right" shrinkToFit="1"/>
      <protection locked="0"/>
    </xf>
    <xf numFmtId="43" fontId="20" fillId="18" borderId="24" xfId="0" applyNumberFormat="1" applyFont="1" applyFill="1" applyBorder="1" applyAlignment="1" applyProtection="1">
      <alignment horizontal="right" shrinkToFit="1"/>
      <protection/>
    </xf>
    <xf numFmtId="49" fontId="20" fillId="0" borderId="32" xfId="0" applyNumberFormat="1" applyFont="1" applyBorder="1" applyAlignment="1">
      <alignment horizontal="left" wrapText="1"/>
    </xf>
    <xf numFmtId="0" fontId="24" fillId="0" borderId="49" xfId="0" applyFont="1" applyFill="1" applyBorder="1" applyAlignment="1" applyProtection="1">
      <alignment horizontal="center" vertical="top" shrinkToFit="1"/>
      <protection/>
    </xf>
    <xf numFmtId="0" fontId="24" fillId="0" borderId="32" xfId="0" applyNumberFormat="1" applyFont="1" applyFill="1" applyBorder="1" applyAlignment="1" applyProtection="1">
      <alignment horizontal="center" shrinkToFit="1"/>
      <protection/>
    </xf>
    <xf numFmtId="0" fontId="24" fillId="0" borderId="32" xfId="0" applyFont="1" applyBorder="1" applyAlignment="1">
      <alignment horizontal="center" shrinkToFit="1"/>
    </xf>
    <xf numFmtId="0" fontId="20" fillId="0" borderId="32" xfId="0" applyFont="1" applyBorder="1" applyAlignment="1">
      <alignment shrinkToFit="1"/>
    </xf>
    <xf numFmtId="43" fontId="20" fillId="0" borderId="14" xfId="0" applyNumberFormat="1" applyFont="1" applyFill="1" applyBorder="1" applyAlignment="1" applyProtection="1">
      <alignment horizontal="right" shrinkToFit="1"/>
      <protection/>
    </xf>
    <xf numFmtId="0" fontId="0" fillId="0" borderId="14" xfId="0" applyBorder="1" applyAlignment="1">
      <alignment horizontal="right" shrinkToFit="1"/>
    </xf>
    <xf numFmtId="43" fontId="20" fillId="18" borderId="14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Border="1" applyAlignment="1">
      <alignment horizontal="center"/>
    </xf>
    <xf numFmtId="43" fontId="20" fillId="0" borderId="33" xfId="0" applyNumberFormat="1" applyFont="1" applyBorder="1" applyAlignment="1" applyProtection="1">
      <alignment horizontal="right" shrinkToFit="1"/>
      <protection locked="0"/>
    </xf>
    <xf numFmtId="0" fontId="24" fillId="0" borderId="49" xfId="0" applyFont="1" applyFill="1" applyBorder="1" applyAlignment="1" applyProtection="1">
      <alignment horizontal="center" vertical="top"/>
      <protection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24" fillId="0" borderId="49" xfId="0" applyFont="1" applyBorder="1" applyAlignment="1">
      <alignment horizontal="center" vertical="top" shrinkToFit="1"/>
    </xf>
    <xf numFmtId="0" fontId="20" fillId="0" borderId="49" xfId="0" applyFont="1" applyBorder="1" applyAlignment="1">
      <alignment shrinkToFit="1"/>
    </xf>
    <xf numFmtId="49" fontId="20" fillId="0" borderId="32" xfId="0" applyNumberFormat="1" applyFont="1" applyBorder="1" applyAlignment="1">
      <alignment horizontal="left" wrapText="1"/>
    </xf>
    <xf numFmtId="0" fontId="20" fillId="0" borderId="3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43" fontId="20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/>
    </xf>
    <xf numFmtId="43" fontId="20" fillId="0" borderId="14" xfId="0" applyNumberFormat="1" applyFont="1" applyBorder="1" applyAlignment="1" applyProtection="1">
      <alignment horizontal="right" shrinkToFit="1"/>
      <protection locked="0"/>
    </xf>
    <xf numFmtId="0" fontId="20" fillId="0" borderId="49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20" fillId="18" borderId="18" xfId="0" applyNumberFormat="1" applyFont="1" applyFill="1" applyBorder="1" applyAlignment="1">
      <alignment horizontal="right" shrinkToFit="1"/>
    </xf>
    <xf numFmtId="0" fontId="20" fillId="0" borderId="0" xfId="0" applyFont="1" applyFill="1" applyBorder="1" applyAlignment="1">
      <alignment horizontal="center" vertical="center"/>
    </xf>
    <xf numFmtId="43" fontId="20" fillId="18" borderId="14" xfId="0" applyNumberFormat="1" applyFont="1" applyFill="1" applyBorder="1" applyAlignment="1">
      <alignment horizontal="right" shrinkToFit="1"/>
    </xf>
    <xf numFmtId="0" fontId="20" fillId="0" borderId="5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1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43" fontId="20" fillId="18" borderId="25" xfId="0" applyNumberFormat="1" applyFont="1" applyFill="1" applyBorder="1" applyAlignment="1">
      <alignment horizontal="right" shrinkToFit="1"/>
    </xf>
    <xf numFmtId="43" fontId="20" fillId="18" borderId="48" xfId="0" applyNumberFormat="1" applyFont="1" applyFill="1" applyBorder="1" applyAlignment="1">
      <alignment horizontal="right" shrinkToFit="1"/>
    </xf>
    <xf numFmtId="0" fontId="19" fillId="0" borderId="0" xfId="0" applyFont="1" applyAlignment="1">
      <alignment horizontal="center"/>
    </xf>
    <xf numFmtId="49" fontId="20" fillId="0" borderId="32" xfId="0" applyNumberFormat="1" applyFont="1" applyBorder="1" applyAlignment="1">
      <alignment horizontal="left" wrapText="1"/>
    </xf>
    <xf numFmtId="0" fontId="20" fillId="0" borderId="52" xfId="0" applyNumberFormat="1" applyFont="1" applyBorder="1" applyAlignment="1">
      <alignment horizontal="left" shrinkToFit="1"/>
    </xf>
    <xf numFmtId="49" fontId="20" fillId="0" borderId="52" xfId="0" applyNumberFormat="1" applyFont="1" applyBorder="1" applyAlignment="1">
      <alignment horizontal="left" wrapText="1"/>
    </xf>
    <xf numFmtId="49" fontId="20" fillId="0" borderId="49" xfId="0" applyNumberFormat="1" applyFont="1" applyBorder="1" applyAlignment="1" applyProtection="1">
      <alignment horizontal="left" wrapText="1"/>
      <protection/>
    </xf>
    <xf numFmtId="49" fontId="20" fillId="0" borderId="32" xfId="0" applyNumberFormat="1" applyFont="1" applyBorder="1" applyAlignment="1" applyProtection="1">
      <alignment horizontal="left" wrapText="1"/>
      <protection/>
    </xf>
    <xf numFmtId="43" fontId="20" fillId="18" borderId="50" xfId="0" applyNumberFormat="1" applyFont="1" applyFill="1" applyBorder="1" applyAlignment="1">
      <alignment horizontal="right" shrinkToFit="1"/>
    </xf>
    <xf numFmtId="43" fontId="20" fillId="18" borderId="38" xfId="0" applyNumberFormat="1" applyFont="1" applyFill="1" applyBorder="1" applyAlignment="1">
      <alignment horizontal="right" shrinkToFit="1"/>
    </xf>
    <xf numFmtId="43" fontId="20" fillId="18" borderId="35" xfId="0" applyNumberFormat="1" applyFont="1" applyFill="1" applyBorder="1" applyAlignment="1">
      <alignment horizontal="right" shrinkToFit="1"/>
    </xf>
    <xf numFmtId="43" fontId="20" fillId="18" borderId="47" xfId="0" applyNumberFormat="1" applyFont="1" applyFill="1" applyBorder="1" applyAlignment="1">
      <alignment horizontal="right" shrinkToFit="1"/>
    </xf>
    <xf numFmtId="43" fontId="20" fillId="18" borderId="33" xfId="0" applyNumberFormat="1" applyFont="1" applyFill="1" applyBorder="1" applyAlignment="1">
      <alignment horizontal="right" shrinkToFit="1"/>
    </xf>
    <xf numFmtId="43" fontId="20" fillId="0" borderId="51" xfId="0" applyNumberFormat="1" applyFont="1" applyBorder="1" applyAlignment="1" applyProtection="1">
      <alignment horizontal="right" shrinkToFit="1"/>
      <protection locked="0"/>
    </xf>
    <xf numFmtId="43" fontId="20" fillId="0" borderId="36" xfId="0" applyNumberFormat="1" applyFont="1" applyBorder="1" applyAlignment="1" applyProtection="1">
      <alignment horizontal="right" shrinkToFit="1"/>
      <protection locked="0"/>
    </xf>
    <xf numFmtId="43" fontId="20" fillId="18" borderId="15" xfId="0" applyNumberFormat="1" applyFont="1" applyFill="1" applyBorder="1" applyAlignment="1">
      <alignment horizontal="right" shrinkToFit="1"/>
    </xf>
    <xf numFmtId="43" fontId="20" fillId="0" borderId="50" xfId="0" applyNumberFormat="1" applyFont="1" applyBorder="1" applyAlignment="1" applyProtection="1">
      <alignment horizontal="right" shrinkToFit="1"/>
      <protection locked="0"/>
    </xf>
    <xf numFmtId="43" fontId="20" fillId="0" borderId="38" xfId="0" applyNumberFormat="1" applyFont="1" applyBorder="1" applyAlignment="1" applyProtection="1">
      <alignment horizontal="right" shrinkToFit="1"/>
      <protection locked="0"/>
    </xf>
    <xf numFmtId="43" fontId="20" fillId="0" borderId="35" xfId="0" applyNumberFormat="1" applyFont="1" applyBorder="1" applyAlignment="1" applyProtection="1">
      <alignment horizontal="right" shrinkToFit="1"/>
      <protection locked="0"/>
    </xf>
    <xf numFmtId="43" fontId="20" fillId="0" borderId="47" xfId="0" applyNumberFormat="1" applyFont="1" applyBorder="1" applyAlignment="1" applyProtection="1">
      <alignment horizontal="right" shrinkToFit="1"/>
      <protection locked="0"/>
    </xf>
    <xf numFmtId="0" fontId="20" fillId="0" borderId="24" xfId="0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3" fontId="20" fillId="0" borderId="16" xfId="0" applyNumberFormat="1" applyFont="1" applyBorder="1" applyAlignment="1" applyProtection="1">
      <alignment horizontal="right" shrinkToFit="1"/>
      <protection locked="0"/>
    </xf>
    <xf numFmtId="43" fontId="20" fillId="0" borderId="15" xfId="0" applyNumberFormat="1" applyFont="1" applyBorder="1" applyAlignment="1" applyProtection="1">
      <alignment horizontal="right" shrinkToFit="1"/>
      <protection locked="0"/>
    </xf>
    <xf numFmtId="43" fontId="20" fillId="0" borderId="10" xfId="0" applyNumberFormat="1" applyFont="1" applyBorder="1" applyAlignment="1" applyProtection="1">
      <alignment horizontal="right" shrinkToFit="1"/>
      <protection locked="0"/>
    </xf>
    <xf numFmtId="43" fontId="20" fillId="18" borderId="10" xfId="0" applyNumberFormat="1" applyFont="1" applyFill="1" applyBorder="1" applyAlignment="1">
      <alignment horizontal="right" shrinkToFit="1"/>
    </xf>
    <xf numFmtId="0" fontId="20" fillId="0" borderId="19" xfId="0" applyFont="1" applyBorder="1" applyAlignment="1">
      <alignment horizontal="center" vertical="center" wrapText="1"/>
    </xf>
    <xf numFmtId="49" fontId="20" fillId="0" borderId="50" xfId="0" applyNumberFormat="1" applyFont="1" applyBorder="1" applyAlignment="1">
      <alignment horizontal="center"/>
    </xf>
    <xf numFmtId="49" fontId="20" fillId="0" borderId="35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3" fontId="20" fillId="18" borderId="18" xfId="0" applyNumberFormat="1" applyFont="1" applyFill="1" applyBorder="1" applyAlignment="1" applyProtection="1">
      <alignment horizontal="right" shrinkToFit="1"/>
      <protection/>
    </xf>
    <xf numFmtId="43" fontId="20" fillId="18" borderId="21" xfId="0" applyNumberFormat="1" applyFont="1" applyFill="1" applyBorder="1" applyAlignment="1">
      <alignment horizontal="right" shrinkToFit="1"/>
    </xf>
    <xf numFmtId="43" fontId="20" fillId="18" borderId="50" xfId="0" applyNumberFormat="1" applyFont="1" applyFill="1" applyBorder="1" applyAlignment="1" applyProtection="1">
      <alignment horizontal="right" shrinkToFit="1"/>
      <protection/>
    </xf>
    <xf numFmtId="43" fontId="20" fillId="18" borderId="38" xfId="0" applyNumberFormat="1" applyFont="1" applyFill="1" applyBorder="1" applyAlignment="1" applyProtection="1">
      <alignment horizontal="right" shrinkToFit="1"/>
      <protection/>
    </xf>
    <xf numFmtId="43" fontId="20" fillId="18" borderId="35" xfId="0" applyNumberFormat="1" applyFont="1" applyFill="1" applyBorder="1" applyAlignment="1" applyProtection="1">
      <alignment horizontal="right" shrinkToFit="1"/>
      <protection/>
    </xf>
    <xf numFmtId="43" fontId="20" fillId="18" borderId="47" xfId="0" applyNumberFormat="1" applyFont="1" applyFill="1" applyBorder="1" applyAlignment="1" applyProtection="1">
      <alignment horizontal="right" shrinkToFit="1"/>
      <protection/>
    </xf>
    <xf numFmtId="43" fontId="20" fillId="18" borderId="16" xfId="0" applyNumberFormat="1" applyFont="1" applyFill="1" applyBorder="1" applyAlignment="1" applyProtection="1">
      <alignment horizontal="right" shrinkToFit="1"/>
      <protection/>
    </xf>
    <xf numFmtId="43" fontId="20" fillId="18" borderId="15" xfId="0" applyNumberFormat="1" applyFont="1" applyFill="1" applyBorder="1" applyAlignment="1" applyProtection="1">
      <alignment horizontal="right" shrinkToFit="1"/>
      <protection/>
    </xf>
    <xf numFmtId="43" fontId="20" fillId="18" borderId="25" xfId="0" applyNumberFormat="1" applyFont="1" applyFill="1" applyBorder="1" applyAlignment="1" applyProtection="1">
      <alignment horizontal="right" shrinkToFit="1"/>
      <protection/>
    </xf>
    <xf numFmtId="43" fontId="20" fillId="18" borderId="48" xfId="0" applyNumberFormat="1" applyFont="1" applyFill="1" applyBorder="1" applyAlignment="1" applyProtection="1">
      <alignment horizontal="right" shrinkToFit="1"/>
      <protection/>
    </xf>
    <xf numFmtId="43" fontId="20" fillId="0" borderId="25" xfId="0" applyNumberFormat="1" applyFont="1" applyFill="1" applyBorder="1" applyAlignment="1">
      <alignment horizontal="center" shrinkToFit="1"/>
    </xf>
    <xf numFmtId="43" fontId="20" fillId="0" borderId="48" xfId="0" applyNumberFormat="1" applyFont="1" applyFill="1" applyBorder="1" applyAlignment="1">
      <alignment horizontal="center" shrinkToFit="1"/>
    </xf>
    <xf numFmtId="0" fontId="20" fillId="0" borderId="52" xfId="0" applyNumberFormat="1" applyFont="1" applyBorder="1" applyAlignment="1" applyProtection="1">
      <alignment horizontal="left" shrinkToFit="1"/>
      <protection/>
    </xf>
    <xf numFmtId="0" fontId="20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49" fontId="24" fillId="0" borderId="32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9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7.875" style="0" customWidth="1"/>
    <col min="2" max="2" width="6.375" style="0" customWidth="1"/>
    <col min="3" max="3" width="7.125" style="0" customWidth="1"/>
    <col min="4" max="4" width="15.00390625" style="0" customWidth="1"/>
    <col min="5" max="13" width="7.25390625" style="0" customWidth="1"/>
    <col min="14" max="14" width="7.25390625" style="18" customWidth="1"/>
    <col min="15" max="15" width="15.00390625" style="0" customWidth="1"/>
  </cols>
  <sheetData>
    <row r="1" ht="15" customHeight="1">
      <c r="G1" s="50"/>
    </row>
    <row r="2" spans="1:15" ht="29.25" customHeight="1" thickBot="1">
      <c r="A2" s="165" t="s">
        <v>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"/>
      <c r="O2" s="2" t="s">
        <v>1</v>
      </c>
    </row>
    <row r="3" spans="1:15" ht="12" customHeight="1">
      <c r="A3" s="3"/>
      <c r="B3" s="3"/>
      <c r="C3" s="4"/>
      <c r="D3" s="47" t="s">
        <v>230</v>
      </c>
      <c r="E3" s="5"/>
      <c r="F3" s="5"/>
      <c r="G3" s="5"/>
      <c r="H3" s="5"/>
      <c r="I3" s="5"/>
      <c r="J3" s="5"/>
      <c r="K3" s="5"/>
      <c r="L3" s="5"/>
      <c r="M3" s="48"/>
      <c r="N3" s="73" t="s">
        <v>186</v>
      </c>
      <c r="O3" s="6" t="s">
        <v>20</v>
      </c>
    </row>
    <row r="4" spans="1:15" ht="25.5" customHeight="1">
      <c r="A4" s="10" t="s">
        <v>3</v>
      </c>
      <c r="B4" s="171" t="s">
        <v>234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4"/>
      <c r="N4" s="16" t="s">
        <v>203</v>
      </c>
      <c r="O4" s="8" t="s">
        <v>229</v>
      </c>
    </row>
    <row r="5" spans="1:15" ht="12" customHeight="1">
      <c r="A5" s="10" t="s">
        <v>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4"/>
      <c r="N5" s="16" t="s">
        <v>204</v>
      </c>
      <c r="O5" s="8" t="s">
        <v>236</v>
      </c>
    </row>
    <row r="6" spans="1:15" ht="28.5" customHeight="1">
      <c r="A6" s="10" t="s">
        <v>5</v>
      </c>
      <c r="B6" s="173" t="s">
        <v>233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4"/>
      <c r="N6" s="17"/>
      <c r="O6" s="9"/>
    </row>
    <row r="7" spans="1:15" ht="12" customHeight="1">
      <c r="A7" s="217" t="s">
        <v>7</v>
      </c>
      <c r="B7" s="174" t="s">
        <v>238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5"/>
      <c r="N7" s="16" t="s">
        <v>205</v>
      </c>
      <c r="O7" s="66" t="s">
        <v>237</v>
      </c>
    </row>
    <row r="8" spans="1:15" ht="12" customHeight="1">
      <c r="A8" s="217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5"/>
      <c r="N8" s="16" t="s">
        <v>204</v>
      </c>
      <c r="O8" s="8" t="s">
        <v>233</v>
      </c>
    </row>
    <row r="9" spans="1:15" ht="12" customHeight="1">
      <c r="A9" s="96" t="s">
        <v>9</v>
      </c>
      <c r="B9" s="216" t="s">
        <v>239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15"/>
      <c r="N9" s="16" t="s">
        <v>206</v>
      </c>
      <c r="O9" s="67" t="s">
        <v>233</v>
      </c>
    </row>
    <row r="10" spans="1:15" ht="12" customHeight="1" thickBot="1">
      <c r="A10" s="7" t="s">
        <v>8</v>
      </c>
      <c r="B10" s="10" t="s">
        <v>235</v>
      </c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6" t="s">
        <v>207</v>
      </c>
      <c r="O10" s="12" t="s">
        <v>0</v>
      </c>
    </row>
    <row r="11" spans="1:15" ht="12" customHeight="1">
      <c r="A11" s="7" t="s">
        <v>2</v>
      </c>
      <c r="B11" s="7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6"/>
      <c r="O11" s="13"/>
    </row>
    <row r="12" spans="1:15" ht="12.75">
      <c r="A12" s="10"/>
      <c r="B12" s="7"/>
      <c r="C12" s="11"/>
      <c r="D12" s="170" t="s">
        <v>19</v>
      </c>
      <c r="E12" s="170"/>
      <c r="F12" s="170"/>
      <c r="G12" s="170"/>
      <c r="H12" s="170"/>
      <c r="I12" s="1"/>
      <c r="J12" s="1"/>
      <c r="K12" s="1"/>
      <c r="L12" s="1"/>
      <c r="M12" s="1"/>
      <c r="N12" s="16"/>
      <c r="O12" s="13"/>
    </row>
    <row r="13" ht="6" customHeight="1" hidden="1"/>
    <row r="14" spans="1:15" ht="15" customHeight="1">
      <c r="A14" s="143" t="s">
        <v>10</v>
      </c>
      <c r="B14" s="149" t="s">
        <v>11</v>
      </c>
      <c r="C14" s="149" t="s">
        <v>18</v>
      </c>
      <c r="D14" s="149" t="s">
        <v>188</v>
      </c>
      <c r="E14" s="149" t="s">
        <v>12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 t="s">
        <v>17</v>
      </c>
    </row>
    <row r="15" spans="1:15" ht="24.75" customHeight="1">
      <c r="A15" s="144"/>
      <c r="B15" s="149"/>
      <c r="C15" s="149"/>
      <c r="D15" s="149"/>
      <c r="E15" s="157" t="s">
        <v>189</v>
      </c>
      <c r="F15" s="167"/>
      <c r="G15" s="157" t="s">
        <v>13</v>
      </c>
      <c r="H15" s="167"/>
      <c r="I15" s="157" t="s">
        <v>14</v>
      </c>
      <c r="J15" s="167"/>
      <c r="K15" s="157" t="s">
        <v>15</v>
      </c>
      <c r="L15" s="167"/>
      <c r="M15" s="149" t="s">
        <v>16</v>
      </c>
      <c r="N15" s="149"/>
      <c r="O15" s="149"/>
    </row>
    <row r="16" spans="1:15" ht="13.5" thickBot="1">
      <c r="A16" s="97">
        <v>1</v>
      </c>
      <c r="B16" s="29">
        <v>2</v>
      </c>
      <c r="C16" s="29">
        <v>3</v>
      </c>
      <c r="D16" s="29">
        <v>4</v>
      </c>
      <c r="E16" s="166">
        <v>5</v>
      </c>
      <c r="F16" s="166"/>
      <c r="G16" s="166">
        <v>6</v>
      </c>
      <c r="H16" s="166"/>
      <c r="I16" s="166">
        <v>7</v>
      </c>
      <c r="J16" s="166"/>
      <c r="K16" s="166">
        <v>8</v>
      </c>
      <c r="L16" s="166"/>
      <c r="M16" s="166">
        <v>9</v>
      </c>
      <c r="N16" s="166"/>
      <c r="O16" s="29">
        <v>10</v>
      </c>
    </row>
    <row r="17" spans="1:15" ht="12.75" customHeight="1">
      <c r="A17" s="99" t="s">
        <v>21</v>
      </c>
      <c r="B17" s="30" t="s">
        <v>37</v>
      </c>
      <c r="C17" s="36"/>
      <c r="D17" s="51">
        <f>ROUND(SUM(П000010003004,П000010004004,П000010005004,П000010006004,П000010009004,П000010010004),2)</f>
        <v>59668100</v>
      </c>
      <c r="E17" s="152">
        <f>ROUND(SUM(П000010003005,П000010004005,П000010005005,П000010006005,П000010009005,П000010010005),2)</f>
        <v>30933100</v>
      </c>
      <c r="F17" s="152"/>
      <c r="G17" s="152">
        <f>ROUND(SUM(П000010003006,П000010004006,П000010005006,П000010006006,П000010009006,П000010010006),2)</f>
        <v>0</v>
      </c>
      <c r="H17" s="152"/>
      <c r="I17" s="152">
        <f>ROUND(SUM(П000010003007,П000010004007,П000010005007,П000010006007,П000010009007,П000010010007),2)</f>
        <v>0</v>
      </c>
      <c r="J17" s="152"/>
      <c r="K17" s="152">
        <f>ROUND(SUM(П000010003008,П000010004008,П000010005008,П000010006008,П000010009008,П000010010008),2)</f>
        <v>0</v>
      </c>
      <c r="L17" s="152"/>
      <c r="M17" s="152">
        <f>ROUND(SUM(П000010003009,П000010004009,П000010005009,П000010006009,П000010009009,П000010010009),2)</f>
        <v>30933100</v>
      </c>
      <c r="N17" s="152"/>
      <c r="O17" s="52">
        <f>ROUND(SUM(П000010003010,П000010004010,П000010005010,П000010006010,П000010009010,П000010010010),2)</f>
        <v>28735000</v>
      </c>
    </row>
    <row r="18" spans="1:15" ht="12.75">
      <c r="A18" s="103" t="s">
        <v>78</v>
      </c>
      <c r="B18" s="32" t="s">
        <v>38</v>
      </c>
      <c r="C18" s="26">
        <v>120</v>
      </c>
      <c r="D18" s="53">
        <v>0</v>
      </c>
      <c r="E18" s="181">
        <v>0</v>
      </c>
      <c r="F18" s="182"/>
      <c r="G18" s="181">
        <v>0</v>
      </c>
      <c r="H18" s="182"/>
      <c r="I18" s="181">
        <v>0</v>
      </c>
      <c r="J18" s="182"/>
      <c r="K18" s="181">
        <v>0</v>
      </c>
      <c r="L18" s="182"/>
      <c r="M18" s="183">
        <f>ROUND(SUM(П000010003005,П000010003006,П000010003007,П000010003008,),2)</f>
        <v>0</v>
      </c>
      <c r="N18" s="183"/>
      <c r="O18" s="54">
        <f>ROUND(IF(D18-M18&gt;0,IF(D18=0,0,D18-M18),0),2)</f>
        <v>0</v>
      </c>
    </row>
    <row r="19" spans="1:15" ht="12.75">
      <c r="A19" s="104" t="s">
        <v>22</v>
      </c>
      <c r="B19" s="189" t="s">
        <v>185</v>
      </c>
      <c r="C19" s="191">
        <v>120</v>
      </c>
      <c r="D19" s="193">
        <v>0</v>
      </c>
      <c r="E19" s="184">
        <v>0</v>
      </c>
      <c r="F19" s="185"/>
      <c r="G19" s="184">
        <v>0</v>
      </c>
      <c r="H19" s="185"/>
      <c r="I19" s="184">
        <v>0</v>
      </c>
      <c r="J19" s="185"/>
      <c r="K19" s="184">
        <v>0</v>
      </c>
      <c r="L19" s="185"/>
      <c r="M19" s="176">
        <f>ROUND(SUM(П000010003105,П000010003106,П000010003107,П000010003108),2)</f>
        <v>0</v>
      </c>
      <c r="N19" s="177"/>
      <c r="O19" s="168">
        <f>ROUND(IF(D19-M19&gt;0,IF(D19=0,0,D19-M19),0),2)</f>
        <v>0</v>
      </c>
    </row>
    <row r="20" spans="1:15" ht="9.75" customHeight="1">
      <c r="A20" s="105" t="s">
        <v>23</v>
      </c>
      <c r="B20" s="190"/>
      <c r="C20" s="192"/>
      <c r="D20" s="194"/>
      <c r="E20" s="186"/>
      <c r="F20" s="187"/>
      <c r="G20" s="186"/>
      <c r="H20" s="187"/>
      <c r="I20" s="186"/>
      <c r="J20" s="187"/>
      <c r="K20" s="186"/>
      <c r="L20" s="187"/>
      <c r="M20" s="178"/>
      <c r="N20" s="179"/>
      <c r="O20" s="169"/>
    </row>
    <row r="21" spans="1:15" ht="12.75">
      <c r="A21" s="103" t="s">
        <v>28</v>
      </c>
      <c r="B21" s="32" t="s">
        <v>40</v>
      </c>
      <c r="C21" s="26">
        <v>130</v>
      </c>
      <c r="D21" s="53">
        <v>0</v>
      </c>
      <c r="E21" s="147">
        <v>0</v>
      </c>
      <c r="F21" s="147"/>
      <c r="G21" s="147">
        <v>0</v>
      </c>
      <c r="H21" s="147"/>
      <c r="I21" s="147">
        <v>0</v>
      </c>
      <c r="J21" s="147"/>
      <c r="K21" s="147">
        <v>0</v>
      </c>
      <c r="L21" s="147"/>
      <c r="M21" s="154">
        <f>ROUND(SUM(П000010004005,П000010004006,П000010004007,П000010004008),2)</f>
        <v>0</v>
      </c>
      <c r="N21" s="154"/>
      <c r="O21" s="54">
        <f>ROUND(IF(D21-M21&gt;0,IF(D21=0,0,D21-M21),0),2)</f>
        <v>0</v>
      </c>
    </row>
    <row r="22" spans="1:15" ht="24" customHeight="1">
      <c r="A22" s="106" t="s">
        <v>29</v>
      </c>
      <c r="B22" s="32" t="s">
        <v>41</v>
      </c>
      <c r="C22" s="26">
        <v>140</v>
      </c>
      <c r="D22" s="53">
        <v>0</v>
      </c>
      <c r="E22" s="147">
        <v>0</v>
      </c>
      <c r="F22" s="147"/>
      <c r="G22" s="147">
        <v>0</v>
      </c>
      <c r="H22" s="147"/>
      <c r="I22" s="147">
        <v>0</v>
      </c>
      <c r="J22" s="147"/>
      <c r="K22" s="147">
        <v>0</v>
      </c>
      <c r="L22" s="147"/>
      <c r="M22" s="154">
        <f>ROUND(SUM(П000010005005,П000010005006,П000010005007,П000010005008),2)</f>
        <v>0</v>
      </c>
      <c r="N22" s="154"/>
      <c r="O22" s="54">
        <f>ROUND(IF(D22-M22&gt;0,IF(D22=0,0,D22-M22),0),2)</f>
        <v>0</v>
      </c>
    </row>
    <row r="23" spans="1:15" ht="12.75">
      <c r="A23" s="103" t="s">
        <v>24</v>
      </c>
      <c r="B23" s="32" t="s">
        <v>42</v>
      </c>
      <c r="C23" s="26">
        <v>150</v>
      </c>
      <c r="D23" s="57">
        <f>ROUND(SUM(П000010006204,П000010006304),2)</f>
        <v>0</v>
      </c>
      <c r="E23" s="133">
        <f>ROUND(SUM(П000010006205,П000010006305),2)</f>
        <v>0</v>
      </c>
      <c r="F23" s="133"/>
      <c r="G23" s="133">
        <f>ROUND(SUM(П000010006206,П000010006306),2)</f>
        <v>0</v>
      </c>
      <c r="H23" s="133"/>
      <c r="I23" s="133">
        <f>ROUND(SUM(П000010006207,П000010006307),2)</f>
        <v>0</v>
      </c>
      <c r="J23" s="133"/>
      <c r="K23" s="133">
        <f>ROUND(SUM(П000010006208,П000010006308),2)</f>
        <v>0</v>
      </c>
      <c r="L23" s="133"/>
      <c r="M23" s="154">
        <f>ROUND(SUM(П000010006005,П000010006006,П000010006007,П000010006008),2)</f>
        <v>0</v>
      </c>
      <c r="N23" s="154"/>
      <c r="O23" s="54">
        <f>ROUND(IF(D23-M23&gt;0,IF(D23=0,0,D23-M23),0),2)</f>
        <v>0</v>
      </c>
    </row>
    <row r="24" spans="1:15" ht="11.25" customHeight="1">
      <c r="A24" s="104" t="s">
        <v>25</v>
      </c>
      <c r="B24" s="189" t="s">
        <v>43</v>
      </c>
      <c r="C24" s="191">
        <v>152</v>
      </c>
      <c r="D24" s="193">
        <v>0</v>
      </c>
      <c r="E24" s="184">
        <v>0</v>
      </c>
      <c r="F24" s="185"/>
      <c r="G24" s="184">
        <v>0</v>
      </c>
      <c r="H24" s="185"/>
      <c r="I24" s="184">
        <v>0</v>
      </c>
      <c r="J24" s="185"/>
      <c r="K24" s="184">
        <v>0</v>
      </c>
      <c r="L24" s="185"/>
      <c r="M24" s="176">
        <f>ROUND(SUM(П000010006205,П000010006206,П000010006207,П000010006208),2)</f>
        <v>0</v>
      </c>
      <c r="N24" s="177"/>
      <c r="O24" s="168">
        <f>ROUND(IF(D24-M24&gt;0,IF(D24=0,0,D24-M24),0),2)</f>
        <v>0</v>
      </c>
    </row>
    <row r="25" spans="1:15" ht="24" customHeight="1">
      <c r="A25" s="107" t="s">
        <v>26</v>
      </c>
      <c r="B25" s="190"/>
      <c r="C25" s="192"/>
      <c r="D25" s="194"/>
      <c r="E25" s="186"/>
      <c r="F25" s="187"/>
      <c r="G25" s="186"/>
      <c r="H25" s="187"/>
      <c r="I25" s="186"/>
      <c r="J25" s="187"/>
      <c r="K25" s="186"/>
      <c r="L25" s="187"/>
      <c r="M25" s="178"/>
      <c r="N25" s="179"/>
      <c r="O25" s="169"/>
    </row>
    <row r="26" spans="1:15" ht="23.25" customHeight="1">
      <c r="A26" s="107" t="s">
        <v>27</v>
      </c>
      <c r="B26" s="32" t="s">
        <v>44</v>
      </c>
      <c r="C26" s="26">
        <v>153</v>
      </c>
      <c r="D26" s="53">
        <v>0</v>
      </c>
      <c r="E26" s="147">
        <v>0</v>
      </c>
      <c r="F26" s="147"/>
      <c r="G26" s="147">
        <v>0</v>
      </c>
      <c r="H26" s="147"/>
      <c r="I26" s="147">
        <v>0</v>
      </c>
      <c r="J26" s="147"/>
      <c r="K26" s="147">
        <v>0</v>
      </c>
      <c r="L26" s="147"/>
      <c r="M26" s="154">
        <f>ROUND(SUM(П000010006305,П000010006306,П000010006307,П000010006308),2)</f>
        <v>0</v>
      </c>
      <c r="N26" s="154"/>
      <c r="O26" s="54">
        <f>ROUND(IF(D26-M26&gt;0,IF(D26=0,0,D26-M26),0),2)</f>
        <v>0</v>
      </c>
    </row>
    <row r="27" spans="1:15" ht="12.75">
      <c r="A27" s="106" t="s">
        <v>30</v>
      </c>
      <c r="B27" s="32" t="s">
        <v>45</v>
      </c>
      <c r="C27" s="26" t="s">
        <v>58</v>
      </c>
      <c r="D27" s="57">
        <f>ROUND(SUM(П000010009204,П000010009304,П000010009404,П000010009504,П000010009604,П000010009704,П000010009804),2)</f>
        <v>0</v>
      </c>
      <c r="E27" s="133">
        <f>ROUND(SUM(П000010009205,П000010009305,П000010009405,П000010009505,П000010009605,П000010009705,П000010009805),2)</f>
        <v>0</v>
      </c>
      <c r="F27" s="133"/>
      <c r="G27" s="133">
        <f>ROUND(SUM(П000010009206,П000010009306,П000010009406,П000010009506,П000010009606,П000010009706,П000010009806),2)</f>
        <v>0</v>
      </c>
      <c r="H27" s="133"/>
      <c r="I27" s="133">
        <f>ROUND(SUM(П000010009207,П000010009307,П000010009407,П000010009507,П000010009607,П000010009707,П000010009807),2)</f>
        <v>0</v>
      </c>
      <c r="J27" s="133"/>
      <c r="K27" s="133">
        <f>ROUND(SUM(П000010009208,П000010009308,П000010009408,П000010009508,П000010009608,П000010009708,П000010009808),2)</f>
        <v>0</v>
      </c>
      <c r="L27" s="133"/>
      <c r="M27" s="154">
        <f>ROUND(SUM(П000010009005,П000010009006,П000010009007,П000010009008,),2)</f>
        <v>0</v>
      </c>
      <c r="N27" s="154"/>
      <c r="O27" s="54">
        <f>ROUND(IF(D27-M27&gt;0,IF(D27=0,0,D27-M27),0),2)</f>
        <v>0</v>
      </c>
    </row>
    <row r="28" spans="1:15" ht="11.25" customHeight="1">
      <c r="A28" s="108" t="s">
        <v>25</v>
      </c>
      <c r="B28" s="189" t="s">
        <v>46</v>
      </c>
      <c r="C28" s="191" t="s">
        <v>59</v>
      </c>
      <c r="D28" s="193">
        <v>0</v>
      </c>
      <c r="E28" s="184">
        <v>0</v>
      </c>
      <c r="F28" s="185"/>
      <c r="G28" s="184">
        <v>0</v>
      </c>
      <c r="H28" s="185"/>
      <c r="I28" s="184">
        <v>0</v>
      </c>
      <c r="J28" s="185"/>
      <c r="K28" s="184">
        <v>0</v>
      </c>
      <c r="L28" s="185"/>
      <c r="M28" s="176">
        <f>ROUND(SUM(П000010009205,П000010009206,П000010009207,П000010009208),2)</f>
        <v>0</v>
      </c>
      <c r="N28" s="177"/>
      <c r="O28" s="168">
        <f>ROUND(IF(D28-M28&gt;0,IF(D28=0,0,D28-M28),0),2)</f>
        <v>0</v>
      </c>
    </row>
    <row r="29" spans="1:15" ht="11.25" customHeight="1">
      <c r="A29" s="107" t="s">
        <v>31</v>
      </c>
      <c r="B29" s="190"/>
      <c r="C29" s="192"/>
      <c r="D29" s="194"/>
      <c r="E29" s="186"/>
      <c r="F29" s="187"/>
      <c r="G29" s="186"/>
      <c r="H29" s="187"/>
      <c r="I29" s="186"/>
      <c r="J29" s="187"/>
      <c r="K29" s="186"/>
      <c r="L29" s="187"/>
      <c r="M29" s="178"/>
      <c r="N29" s="179"/>
      <c r="O29" s="169"/>
    </row>
    <row r="30" spans="1:15" ht="12.75" customHeight="1">
      <c r="A30" s="107" t="s">
        <v>32</v>
      </c>
      <c r="B30" s="32" t="s">
        <v>47</v>
      </c>
      <c r="C30" s="26" t="s">
        <v>60</v>
      </c>
      <c r="D30" s="53">
        <v>0</v>
      </c>
      <c r="E30" s="147">
        <v>0</v>
      </c>
      <c r="F30" s="147"/>
      <c r="G30" s="147">
        <v>0</v>
      </c>
      <c r="H30" s="147"/>
      <c r="I30" s="147">
        <v>0</v>
      </c>
      <c r="J30" s="147"/>
      <c r="K30" s="147">
        <v>0</v>
      </c>
      <c r="L30" s="147"/>
      <c r="M30" s="154">
        <f>ROUND(SUM(П000010009305,П000010009306,П000010009307,П000010009308),2)</f>
        <v>0</v>
      </c>
      <c r="N30" s="154"/>
      <c r="O30" s="54">
        <f aca="true" t="shared" si="0" ref="O30:O35">ROUND(IF(D30-M30&gt;0,IF(D30=0,0,D30-M30),0),2)</f>
        <v>0</v>
      </c>
    </row>
    <row r="31" spans="1:15" ht="12.75" customHeight="1">
      <c r="A31" s="107" t="s">
        <v>33</v>
      </c>
      <c r="B31" s="32" t="s">
        <v>48</v>
      </c>
      <c r="C31" s="26" t="s">
        <v>61</v>
      </c>
      <c r="D31" s="53">
        <v>0</v>
      </c>
      <c r="E31" s="147">
        <v>0</v>
      </c>
      <c r="F31" s="147"/>
      <c r="G31" s="147">
        <v>0</v>
      </c>
      <c r="H31" s="147"/>
      <c r="I31" s="147">
        <v>0</v>
      </c>
      <c r="J31" s="147"/>
      <c r="K31" s="147">
        <v>0</v>
      </c>
      <c r="L31" s="147"/>
      <c r="M31" s="154">
        <f>ROUND(SUM(П000010009405,П000010009406,П000010009407,П000010009408),2)</f>
        <v>0</v>
      </c>
      <c r="N31" s="154"/>
      <c r="O31" s="54">
        <f t="shared" si="0"/>
        <v>0</v>
      </c>
    </row>
    <row r="32" spans="1:15" ht="12.75" customHeight="1">
      <c r="A32" s="107" t="s">
        <v>34</v>
      </c>
      <c r="B32" s="32" t="s">
        <v>49</v>
      </c>
      <c r="C32" s="26" t="s">
        <v>62</v>
      </c>
      <c r="D32" s="53">
        <v>0</v>
      </c>
      <c r="E32" s="147">
        <v>0</v>
      </c>
      <c r="F32" s="147"/>
      <c r="G32" s="147">
        <v>0</v>
      </c>
      <c r="H32" s="147"/>
      <c r="I32" s="147">
        <v>0</v>
      </c>
      <c r="J32" s="147"/>
      <c r="K32" s="147">
        <v>0</v>
      </c>
      <c r="L32" s="147"/>
      <c r="M32" s="154">
        <f>ROUND(SUM(П000010009505,П000010009506,П000010009507,П000010009508),2)</f>
        <v>0</v>
      </c>
      <c r="N32" s="154"/>
      <c r="O32" s="54">
        <f t="shared" si="0"/>
        <v>0</v>
      </c>
    </row>
    <row r="33" spans="1:15" ht="12.75" customHeight="1">
      <c r="A33" s="107" t="s">
        <v>35</v>
      </c>
      <c r="B33" s="32" t="s">
        <v>50</v>
      </c>
      <c r="C33" s="26" t="s">
        <v>63</v>
      </c>
      <c r="D33" s="53">
        <v>0</v>
      </c>
      <c r="E33" s="147">
        <v>0</v>
      </c>
      <c r="F33" s="147"/>
      <c r="G33" s="147">
        <v>0</v>
      </c>
      <c r="H33" s="147"/>
      <c r="I33" s="147">
        <v>0</v>
      </c>
      <c r="J33" s="147"/>
      <c r="K33" s="147">
        <v>0</v>
      </c>
      <c r="L33" s="147"/>
      <c r="M33" s="154">
        <f>ROUND(SUM(П000010009605,П000010009606,П000010009607,П000010009608,),2)</f>
        <v>0</v>
      </c>
      <c r="N33" s="154"/>
      <c r="O33" s="54">
        <f t="shared" si="0"/>
        <v>0</v>
      </c>
    </row>
    <row r="34" spans="1:15" ht="12.75" customHeight="1">
      <c r="A34" s="107" t="s">
        <v>36</v>
      </c>
      <c r="B34" s="32" t="s">
        <v>51</v>
      </c>
      <c r="C34" s="26" t="s">
        <v>64</v>
      </c>
      <c r="D34" s="53">
        <v>0</v>
      </c>
      <c r="E34" s="147">
        <v>0</v>
      </c>
      <c r="F34" s="147"/>
      <c r="G34" s="147">
        <v>0</v>
      </c>
      <c r="H34" s="147"/>
      <c r="I34" s="147">
        <v>0</v>
      </c>
      <c r="J34" s="147"/>
      <c r="K34" s="147">
        <v>0</v>
      </c>
      <c r="L34" s="147"/>
      <c r="M34" s="154">
        <f>ROUND(SUM(П000010009705,П000010009706,П000010009707,П000010009708),2)</f>
        <v>0</v>
      </c>
      <c r="N34" s="154"/>
      <c r="O34" s="54">
        <f t="shared" si="0"/>
        <v>0</v>
      </c>
    </row>
    <row r="35" spans="1:15" ht="12.75" customHeight="1">
      <c r="A35" s="107" t="s">
        <v>190</v>
      </c>
      <c r="B35" s="32" t="s">
        <v>52</v>
      </c>
      <c r="C35" s="26" t="s">
        <v>65</v>
      </c>
      <c r="D35" s="53">
        <v>0</v>
      </c>
      <c r="E35" s="147">
        <v>0</v>
      </c>
      <c r="F35" s="147"/>
      <c r="G35" s="147">
        <v>0</v>
      </c>
      <c r="H35" s="147"/>
      <c r="I35" s="147">
        <v>0</v>
      </c>
      <c r="J35" s="147"/>
      <c r="K35" s="147">
        <v>0</v>
      </c>
      <c r="L35" s="147"/>
      <c r="M35" s="154">
        <f>ROUND(SUM(П000010009805,П000010009806,П000010009807,П000010009808),2)</f>
        <v>0</v>
      </c>
      <c r="N35" s="154"/>
      <c r="O35" s="54">
        <f t="shared" si="0"/>
        <v>0</v>
      </c>
    </row>
    <row r="36" spans="1:15" ht="12.75" hidden="1">
      <c r="A36" s="109"/>
      <c r="B36" s="68"/>
      <c r="O36" s="71" t="s">
        <v>195</v>
      </c>
    </row>
    <row r="37" spans="1:15" ht="15" customHeight="1" hidden="1">
      <c r="A37" s="97" t="s">
        <v>10</v>
      </c>
      <c r="B37" s="197" t="s">
        <v>11</v>
      </c>
      <c r="C37" s="149" t="s">
        <v>18</v>
      </c>
      <c r="D37" s="149" t="s">
        <v>188</v>
      </c>
      <c r="E37" s="149" t="s">
        <v>12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88" t="s">
        <v>17</v>
      </c>
    </row>
    <row r="38" spans="1:15" ht="33.75" customHeight="1" hidden="1">
      <c r="A38" s="97"/>
      <c r="B38" s="197"/>
      <c r="C38" s="149"/>
      <c r="D38" s="149"/>
      <c r="E38" s="157" t="s">
        <v>189</v>
      </c>
      <c r="F38" s="167"/>
      <c r="G38" s="157" t="s">
        <v>13</v>
      </c>
      <c r="H38" s="167"/>
      <c r="I38" s="157" t="s">
        <v>14</v>
      </c>
      <c r="J38" s="167"/>
      <c r="K38" s="157" t="s">
        <v>15</v>
      </c>
      <c r="L38" s="167"/>
      <c r="M38" s="149" t="s">
        <v>16</v>
      </c>
      <c r="N38" s="149"/>
      <c r="O38" s="188"/>
    </row>
    <row r="39" spans="1:15" ht="12.75" hidden="1">
      <c r="A39" s="97">
        <v>1</v>
      </c>
      <c r="B39" s="69">
        <v>2</v>
      </c>
      <c r="C39" s="29">
        <v>3</v>
      </c>
      <c r="D39" s="29">
        <v>4</v>
      </c>
      <c r="E39" s="166">
        <v>5</v>
      </c>
      <c r="F39" s="166"/>
      <c r="G39" s="166">
        <v>6</v>
      </c>
      <c r="H39" s="166"/>
      <c r="I39" s="166">
        <v>7</v>
      </c>
      <c r="J39" s="166"/>
      <c r="K39" s="166">
        <v>8</v>
      </c>
      <c r="L39" s="166"/>
      <c r="M39" s="166">
        <v>9</v>
      </c>
      <c r="N39" s="166"/>
      <c r="O39" s="72">
        <v>10</v>
      </c>
    </row>
    <row r="40" spans="1:15" ht="12.75" customHeight="1">
      <c r="A40" s="106" t="s">
        <v>53</v>
      </c>
      <c r="B40" s="32" t="s">
        <v>54</v>
      </c>
      <c r="C40" s="26" t="s">
        <v>66</v>
      </c>
      <c r="D40" s="57">
        <f>ROUND(SUM(П000010010104,П000010010204,П000010010304,П000010010404),2)</f>
        <v>59668100</v>
      </c>
      <c r="E40" s="133">
        <f>ROUND(SUM(П000010010105,П000010010205,П000010010305,П000010010405),2)</f>
        <v>30933100</v>
      </c>
      <c r="F40" s="133"/>
      <c r="G40" s="133">
        <f>ROUND(SUM(П000010010106,П000010010206,П000010010306,П000010010406),2)</f>
        <v>0</v>
      </c>
      <c r="H40" s="133"/>
      <c r="I40" s="133">
        <f>ROUND(SUM(П000010010107,П000010010207,П000010010307,П000010010407),2)</f>
        <v>0</v>
      </c>
      <c r="J40" s="133"/>
      <c r="K40" s="133">
        <f>ROUND(SUM(П000010010108,П000010010208,П000010010308,П000010010408),2)</f>
        <v>0</v>
      </c>
      <c r="L40" s="133"/>
      <c r="M40" s="154">
        <f>ROUND(SUM(П000010010005,П000010010006,П000010010007,П000010010008),2)</f>
        <v>30933100</v>
      </c>
      <c r="N40" s="154"/>
      <c r="O40" s="54">
        <f>ROUND(IF(D40-M40&gt;0,IF(D40=0,0,D40-M40),0),2)</f>
        <v>28735000</v>
      </c>
    </row>
    <row r="41" spans="1:15" ht="12.75" customHeight="1">
      <c r="A41" s="104" t="s">
        <v>22</v>
      </c>
      <c r="B41" s="189" t="s">
        <v>39</v>
      </c>
      <c r="C41" s="191" t="s">
        <v>66</v>
      </c>
      <c r="D41" s="193">
        <v>59668100</v>
      </c>
      <c r="E41" s="184">
        <v>30933100</v>
      </c>
      <c r="F41" s="185"/>
      <c r="G41" s="184">
        <v>0</v>
      </c>
      <c r="H41" s="185"/>
      <c r="I41" s="184">
        <v>0</v>
      </c>
      <c r="J41" s="185"/>
      <c r="K41" s="184">
        <v>0</v>
      </c>
      <c r="L41" s="185"/>
      <c r="M41" s="176">
        <f>ROUND(SUM(П000010010105,П000010010106,П000010010107,П000010010108),2)</f>
        <v>30933100</v>
      </c>
      <c r="N41" s="177"/>
      <c r="O41" s="168">
        <f>ROUND(IF(D41-M41&gt;0,IF(D41=0,0,D41-M41),0),2)</f>
        <v>28735000</v>
      </c>
    </row>
    <row r="42" spans="1:15" ht="12.75" customHeight="1">
      <c r="A42" s="107" t="s">
        <v>224</v>
      </c>
      <c r="B42" s="190"/>
      <c r="C42" s="192"/>
      <c r="D42" s="194"/>
      <c r="E42" s="186"/>
      <c r="F42" s="187"/>
      <c r="G42" s="186"/>
      <c r="H42" s="187"/>
      <c r="I42" s="186"/>
      <c r="J42" s="187"/>
      <c r="K42" s="186"/>
      <c r="L42" s="187"/>
      <c r="M42" s="178"/>
      <c r="N42" s="179"/>
      <c r="O42" s="169"/>
    </row>
    <row r="43" spans="1:15" ht="22.5" customHeight="1">
      <c r="A43" s="107" t="s">
        <v>225</v>
      </c>
      <c r="B43" s="32" t="s">
        <v>55</v>
      </c>
      <c r="C43" s="26" t="s">
        <v>66</v>
      </c>
      <c r="D43" s="53">
        <v>0</v>
      </c>
      <c r="E43" s="147">
        <v>0</v>
      </c>
      <c r="F43" s="147"/>
      <c r="G43" s="147">
        <v>0</v>
      </c>
      <c r="H43" s="147"/>
      <c r="I43" s="147">
        <v>0</v>
      </c>
      <c r="J43" s="147"/>
      <c r="K43" s="147">
        <v>0</v>
      </c>
      <c r="L43" s="147"/>
      <c r="M43" s="154">
        <f>ROUND(SUM(П000010010205,П000010010206,П000010010207,П000010010208),2)</f>
        <v>0</v>
      </c>
      <c r="N43" s="154"/>
      <c r="O43" s="54">
        <f>ROUND(IF(D43-M43&gt;0,IF(D43=0,0,D43-M43),0),2)</f>
        <v>0</v>
      </c>
    </row>
    <row r="44" spans="1:15" ht="12.75" customHeight="1">
      <c r="A44" s="107" t="s">
        <v>226</v>
      </c>
      <c r="B44" s="32" t="s">
        <v>56</v>
      </c>
      <c r="C44" s="26" t="s">
        <v>66</v>
      </c>
      <c r="D44" s="53">
        <v>0</v>
      </c>
      <c r="E44" s="147">
        <v>0</v>
      </c>
      <c r="F44" s="147"/>
      <c r="G44" s="147">
        <v>0</v>
      </c>
      <c r="H44" s="147"/>
      <c r="I44" s="147">
        <v>0</v>
      </c>
      <c r="J44" s="147"/>
      <c r="K44" s="147">
        <v>0</v>
      </c>
      <c r="L44" s="147"/>
      <c r="M44" s="154">
        <f>ROUND(SUM(П000010010305,П000010010306,П000010010307,П000010010308),2)</f>
        <v>0</v>
      </c>
      <c r="N44" s="154"/>
      <c r="O44" s="54">
        <f>ROUND(IF(D44-M44&gt;0,IF(D44=0,0,D44-M44),0),2)</f>
        <v>0</v>
      </c>
    </row>
    <row r="45" spans="1:15" ht="12.75" customHeight="1" thickBot="1">
      <c r="A45" s="107" t="s">
        <v>227</v>
      </c>
      <c r="B45" s="33" t="s">
        <v>57</v>
      </c>
      <c r="C45" s="34" t="s">
        <v>66</v>
      </c>
      <c r="D45" s="58">
        <v>0</v>
      </c>
      <c r="E45" s="195">
        <v>0</v>
      </c>
      <c r="F45" s="195"/>
      <c r="G45" s="195">
        <v>0</v>
      </c>
      <c r="H45" s="195"/>
      <c r="I45" s="195">
        <v>0</v>
      </c>
      <c r="J45" s="195"/>
      <c r="K45" s="195">
        <v>0</v>
      </c>
      <c r="L45" s="195"/>
      <c r="M45" s="196">
        <f>ROUND(SUM(П000010010405,П000010010406,П000010010407,П000010010408),2)</f>
        <v>0</v>
      </c>
      <c r="N45" s="196"/>
      <c r="O45" s="59">
        <f>ROUND(IF(D45-M45&gt;0,IF(D45=0,0,D45-M45),0),2)</f>
        <v>0</v>
      </c>
    </row>
    <row r="46" spans="1:15" ht="12.75" customHeight="1">
      <c r="A46" s="110"/>
      <c r="B46" s="27"/>
      <c r="C46" s="27"/>
      <c r="D46" s="28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8"/>
    </row>
    <row r="47" spans="1:15" ht="12.75">
      <c r="A47" s="10"/>
      <c r="B47" s="7"/>
      <c r="C47" s="11"/>
      <c r="D47" s="170" t="s">
        <v>79</v>
      </c>
      <c r="E47" s="170"/>
      <c r="F47" s="170"/>
      <c r="G47" s="170"/>
      <c r="H47" s="170"/>
      <c r="I47" s="1"/>
      <c r="J47" s="1"/>
      <c r="K47" s="1"/>
      <c r="L47" s="1"/>
      <c r="M47" s="1"/>
      <c r="N47" s="16"/>
      <c r="O47" s="13"/>
    </row>
    <row r="48" spans="1:15" ht="13.5" customHeight="1">
      <c r="A48" s="10"/>
      <c r="B48" s="7"/>
      <c r="C48" s="11"/>
      <c r="D48" s="24"/>
      <c r="E48" s="24"/>
      <c r="F48" s="24"/>
      <c r="G48" s="24"/>
      <c r="H48" s="24"/>
      <c r="I48" s="1"/>
      <c r="J48" s="1"/>
      <c r="K48" s="1"/>
      <c r="L48" s="1"/>
      <c r="M48" s="1"/>
      <c r="N48" s="16"/>
      <c r="O48" s="23" t="s">
        <v>195</v>
      </c>
    </row>
    <row r="49" spans="1:15" ht="15" customHeight="1">
      <c r="A49" s="143" t="s">
        <v>10</v>
      </c>
      <c r="B49" s="149" t="s">
        <v>11</v>
      </c>
      <c r="C49" s="149" t="s">
        <v>18</v>
      </c>
      <c r="D49" s="149" t="s">
        <v>188</v>
      </c>
      <c r="E49" s="149" t="s">
        <v>12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 t="s">
        <v>17</v>
      </c>
    </row>
    <row r="50" spans="1:15" ht="33.75" customHeight="1">
      <c r="A50" s="144"/>
      <c r="B50" s="149"/>
      <c r="C50" s="149"/>
      <c r="D50" s="149"/>
      <c r="E50" s="157" t="s">
        <v>189</v>
      </c>
      <c r="F50" s="167"/>
      <c r="G50" s="157" t="s">
        <v>13</v>
      </c>
      <c r="H50" s="167"/>
      <c r="I50" s="157" t="s">
        <v>14</v>
      </c>
      <c r="J50" s="167"/>
      <c r="K50" s="157" t="s">
        <v>15</v>
      </c>
      <c r="L50" s="167"/>
      <c r="M50" s="149" t="s">
        <v>16</v>
      </c>
      <c r="N50" s="149"/>
      <c r="O50" s="149"/>
    </row>
    <row r="51" spans="1:15" ht="13.5" thickBot="1">
      <c r="A51" s="97">
        <v>1</v>
      </c>
      <c r="B51" s="29">
        <v>2</v>
      </c>
      <c r="C51" s="29">
        <v>3</v>
      </c>
      <c r="D51" s="29">
        <v>4</v>
      </c>
      <c r="E51" s="166">
        <v>5</v>
      </c>
      <c r="F51" s="166"/>
      <c r="G51" s="166">
        <v>6</v>
      </c>
      <c r="H51" s="166"/>
      <c r="I51" s="166">
        <v>7</v>
      </c>
      <c r="J51" s="166"/>
      <c r="K51" s="166">
        <v>8</v>
      </c>
      <c r="L51" s="166"/>
      <c r="M51" s="166">
        <v>9</v>
      </c>
      <c r="N51" s="166"/>
      <c r="O51" s="29">
        <v>10</v>
      </c>
    </row>
    <row r="52" spans="1:15" ht="12.75" customHeight="1">
      <c r="A52" s="99" t="s">
        <v>77</v>
      </c>
      <c r="B52" s="30" t="s">
        <v>85</v>
      </c>
      <c r="C52" s="31" t="s">
        <v>58</v>
      </c>
      <c r="D52" s="51">
        <f>ROUND(SUM(П000010016004,П000010017004,П000010019004,П000010021004,П000010023004,П000010024004,П000010025004,П000010026004,П000010027004),2)</f>
        <v>59698469.84</v>
      </c>
      <c r="E52" s="152">
        <f>ROUND(SUM(П000010016005,П000010017005,П000010019005,П000010021005,П000010023005,П000010024005,П000010025005,П000010026005,П000010027005,),2)</f>
        <v>22232342.7</v>
      </c>
      <c r="F52" s="152"/>
      <c r="G52" s="152">
        <f>ROUND(SUM(П000010016006,П000010017006,П000010019006,П000010021006,П000010023006,П000010024006,П000010025006,П000010026006,П000010027006,),2)</f>
        <v>0</v>
      </c>
      <c r="H52" s="152"/>
      <c r="I52" s="152">
        <f>ROUND(SUM(П000010016007,П000010017007,П000010019007,П000010021007,П000010023007,П000010024007,П000010025007,П000010026007,П000010027007,),2)</f>
        <v>0</v>
      </c>
      <c r="J52" s="152"/>
      <c r="K52" s="152">
        <f>ROUND(SUM(П000010016008,П000010017008,П000010019008,П000010021008,П000010023008,П000010024008,П000010025008,П000010026008,П000010027008,),2)</f>
        <v>0</v>
      </c>
      <c r="L52" s="152"/>
      <c r="M52" s="152">
        <f>ROUND(SUM(П000010016009,П000010017009,П000010019009,П000010021009,П000010023009,П000010024009,П000010025009,П000010026009,П000010027009,),2)</f>
        <v>22232342.7</v>
      </c>
      <c r="N52" s="152"/>
      <c r="O52" s="52">
        <f>ROUND(SUM(П000010016010,П000010017010,П000010019010,П000010021010,П000010023010,П000010024010,П000010025010,П000010026010,П000010027010),2)</f>
        <v>37466127.14</v>
      </c>
    </row>
    <row r="53" spans="1:15" ht="12.75" customHeight="1">
      <c r="A53" s="108" t="s">
        <v>25</v>
      </c>
      <c r="B53" s="189" t="s">
        <v>86</v>
      </c>
      <c r="C53" s="191" t="s">
        <v>100</v>
      </c>
      <c r="D53" s="210">
        <f>ROUND(SUM(П000010016104,П000010016204,П000010016304),2)</f>
        <v>47395060</v>
      </c>
      <c r="E53" s="206">
        <f>ROUND(SUM(П000010016105,П000010016205,П000010016305),2)</f>
        <v>17491427.26</v>
      </c>
      <c r="F53" s="207"/>
      <c r="G53" s="206">
        <f>ROUND(SUM(П000010016106,П000010016206,П000010016306),2)</f>
        <v>0</v>
      </c>
      <c r="H53" s="207"/>
      <c r="I53" s="206">
        <f>ROUND(SUM(П000010016107,П000010016207,П000010016307),2)</f>
        <v>0</v>
      </c>
      <c r="J53" s="207"/>
      <c r="K53" s="206">
        <f>ROUND(SUM(П000010016108,П000010016208,П000010016308),2)</f>
        <v>0</v>
      </c>
      <c r="L53" s="207"/>
      <c r="M53" s="176">
        <f>ROUND(SUM(П000010016005,П000010016006,П000010016007,П000010016008),2)</f>
        <v>17491427.26</v>
      </c>
      <c r="N53" s="177"/>
      <c r="O53" s="168">
        <f>ROUND(IF(D53-M53&gt;0,IF(D53=0,0,D53-M53),0),2)</f>
        <v>29903632.74</v>
      </c>
    </row>
    <row r="54" spans="1:15" ht="24" customHeight="1">
      <c r="A54" s="111" t="s">
        <v>67</v>
      </c>
      <c r="B54" s="190"/>
      <c r="C54" s="192"/>
      <c r="D54" s="211"/>
      <c r="E54" s="208"/>
      <c r="F54" s="209"/>
      <c r="G54" s="208"/>
      <c r="H54" s="209"/>
      <c r="I54" s="208"/>
      <c r="J54" s="209"/>
      <c r="K54" s="208"/>
      <c r="L54" s="209"/>
      <c r="M54" s="178"/>
      <c r="N54" s="179"/>
      <c r="O54" s="169"/>
    </row>
    <row r="55" spans="1:15" ht="12.75" customHeight="1">
      <c r="A55" s="104" t="s">
        <v>25</v>
      </c>
      <c r="B55" s="189" t="s">
        <v>87</v>
      </c>
      <c r="C55" s="191" t="s">
        <v>101</v>
      </c>
      <c r="D55" s="193">
        <v>36530000</v>
      </c>
      <c r="E55" s="184">
        <v>13662689.19</v>
      </c>
      <c r="F55" s="185"/>
      <c r="G55" s="184">
        <v>0</v>
      </c>
      <c r="H55" s="185"/>
      <c r="I55" s="184">
        <v>0</v>
      </c>
      <c r="J55" s="185"/>
      <c r="K55" s="184">
        <v>0</v>
      </c>
      <c r="L55" s="185"/>
      <c r="M55" s="176">
        <f>ROUND(SUM(П000010016105,П000010016106,П000010016107,П000010016108),2)</f>
        <v>13662689.19</v>
      </c>
      <c r="N55" s="177"/>
      <c r="O55" s="168">
        <f>ROUND(IF(D55-M55&gt;0,IF(D55=0,0,D55-M55),0),2)</f>
        <v>22867310.81</v>
      </c>
    </row>
    <row r="56" spans="1:15" ht="12.75" customHeight="1">
      <c r="A56" s="107" t="s">
        <v>68</v>
      </c>
      <c r="B56" s="190"/>
      <c r="C56" s="192"/>
      <c r="D56" s="194"/>
      <c r="E56" s="186"/>
      <c r="F56" s="187"/>
      <c r="G56" s="186"/>
      <c r="H56" s="187"/>
      <c r="I56" s="186"/>
      <c r="J56" s="187"/>
      <c r="K56" s="186"/>
      <c r="L56" s="187"/>
      <c r="M56" s="178"/>
      <c r="N56" s="179"/>
      <c r="O56" s="169"/>
    </row>
    <row r="57" spans="1:15" ht="12.75" customHeight="1">
      <c r="A57" s="107" t="s">
        <v>69</v>
      </c>
      <c r="B57" s="32" t="s">
        <v>88</v>
      </c>
      <c r="C57" s="26" t="s">
        <v>102</v>
      </c>
      <c r="D57" s="53">
        <v>30000</v>
      </c>
      <c r="E57" s="147">
        <v>10000</v>
      </c>
      <c r="F57" s="147"/>
      <c r="G57" s="147">
        <v>0</v>
      </c>
      <c r="H57" s="147"/>
      <c r="I57" s="147">
        <v>0</v>
      </c>
      <c r="J57" s="147"/>
      <c r="K57" s="147">
        <v>0</v>
      </c>
      <c r="L57" s="147"/>
      <c r="M57" s="154">
        <f>ROUND(SUM(П000010016205,П000010016206,П000010016207,П000010016208),2)</f>
        <v>10000</v>
      </c>
      <c r="N57" s="154"/>
      <c r="O57" s="54">
        <f>ROUND(IF(D57-M57&gt;0,IF(D57=0,0,D57-M57),0),2)</f>
        <v>20000</v>
      </c>
    </row>
    <row r="58" spans="1:15" ht="12.75" customHeight="1">
      <c r="A58" s="107" t="s">
        <v>70</v>
      </c>
      <c r="B58" s="32" t="s">
        <v>89</v>
      </c>
      <c r="C58" s="26" t="s">
        <v>103</v>
      </c>
      <c r="D58" s="53">
        <v>10835060</v>
      </c>
      <c r="E58" s="147">
        <v>3818738.07</v>
      </c>
      <c r="F58" s="147"/>
      <c r="G58" s="147">
        <v>0</v>
      </c>
      <c r="H58" s="147"/>
      <c r="I58" s="147">
        <v>0</v>
      </c>
      <c r="J58" s="147"/>
      <c r="K58" s="147">
        <v>0</v>
      </c>
      <c r="L58" s="147"/>
      <c r="M58" s="154">
        <f>ROUND(SUM(П000010016305,П000010016306,П000010016307,П000010016308),2)</f>
        <v>3818738.07</v>
      </c>
      <c r="N58" s="154"/>
      <c r="O58" s="54">
        <f>ROUND(IF(D58-M58&gt;0,IF(D58=0,0,D58-M58),0),2)</f>
        <v>7016321.93</v>
      </c>
    </row>
    <row r="59" spans="1:15" ht="12.75" customHeight="1">
      <c r="A59" s="106" t="s">
        <v>71</v>
      </c>
      <c r="B59" s="32" t="s">
        <v>90</v>
      </c>
      <c r="C59" s="26" t="s">
        <v>104</v>
      </c>
      <c r="D59" s="57">
        <f>ROUND(SUM(П000010017104,П000010017204,П000010017304,П000010017404,П000010017504,П000010017604),2)</f>
        <v>5140580</v>
      </c>
      <c r="E59" s="133">
        <f>ROUND(SUM(П000010017105,П000010017205,П000010017305,П000010017405,П000010017505,П000010017605),2)</f>
        <v>1947228.21</v>
      </c>
      <c r="F59" s="133"/>
      <c r="G59" s="133">
        <f>ROUND(SUM(П000010017106,П000010017206,П000010017306,П000010017406,П000010017506,П000010017606),2)</f>
        <v>0</v>
      </c>
      <c r="H59" s="133"/>
      <c r="I59" s="133">
        <f>ROUND(SUM(П000010017107,П000010017207,П000010017307,П000010017407,П000010017507,П000010017607),2)</f>
        <v>0</v>
      </c>
      <c r="J59" s="133"/>
      <c r="K59" s="133">
        <f>ROUND(SUM(П000010017108,П000010017208,П000010017308,П000010017408,П000010017508,П000010017608),2)</f>
        <v>0</v>
      </c>
      <c r="L59" s="133"/>
      <c r="M59" s="154">
        <f>ROUND(SUM(П000010017005,П000010017006,П000010017007,П000010017008),2)</f>
        <v>1947228.21</v>
      </c>
      <c r="N59" s="154"/>
      <c r="O59" s="54">
        <f>ROUND(IF(D59-M59&gt;0,IF(D59=0,0,D59-M59),0),2)</f>
        <v>3193351.79</v>
      </c>
    </row>
    <row r="60" spans="1:15" ht="12.75" customHeight="1">
      <c r="A60" s="104" t="s">
        <v>25</v>
      </c>
      <c r="B60" s="189" t="s">
        <v>91</v>
      </c>
      <c r="C60" s="198" t="s">
        <v>105</v>
      </c>
      <c r="D60" s="184">
        <v>75300</v>
      </c>
      <c r="E60" s="184">
        <v>29892.8</v>
      </c>
      <c r="F60" s="185"/>
      <c r="G60" s="184">
        <v>0</v>
      </c>
      <c r="H60" s="185"/>
      <c r="I60" s="184">
        <v>0</v>
      </c>
      <c r="J60" s="185"/>
      <c r="K60" s="184">
        <v>0</v>
      </c>
      <c r="L60" s="185"/>
      <c r="M60" s="176">
        <f>ROUND(SUM(П000010017105,П000010017106,П000010017107,П000010017108),2)</f>
        <v>29892.8</v>
      </c>
      <c r="N60" s="177"/>
      <c r="O60" s="168">
        <f>ROUND(IF(D60-M60&gt;0,IF(D60=0,0,D60-M60),0),2)</f>
        <v>45407.2</v>
      </c>
    </row>
    <row r="61" spans="1:15" ht="11.25" customHeight="1">
      <c r="A61" s="107" t="s">
        <v>72</v>
      </c>
      <c r="B61" s="190"/>
      <c r="C61" s="199"/>
      <c r="D61" s="186"/>
      <c r="E61" s="186"/>
      <c r="F61" s="187"/>
      <c r="G61" s="186"/>
      <c r="H61" s="187"/>
      <c r="I61" s="186"/>
      <c r="J61" s="187"/>
      <c r="K61" s="186"/>
      <c r="L61" s="187"/>
      <c r="M61" s="178"/>
      <c r="N61" s="179"/>
      <c r="O61" s="169"/>
    </row>
    <row r="62" spans="1:15" ht="12.75" customHeight="1">
      <c r="A62" s="107" t="s">
        <v>192</v>
      </c>
      <c r="B62" s="32" t="s">
        <v>92</v>
      </c>
      <c r="C62" s="26" t="s">
        <v>106</v>
      </c>
      <c r="D62" s="53">
        <v>55100</v>
      </c>
      <c r="E62" s="147">
        <v>36650</v>
      </c>
      <c r="F62" s="147"/>
      <c r="G62" s="147">
        <v>0</v>
      </c>
      <c r="H62" s="147"/>
      <c r="I62" s="147">
        <v>0</v>
      </c>
      <c r="J62" s="147"/>
      <c r="K62" s="147">
        <v>0</v>
      </c>
      <c r="L62" s="147"/>
      <c r="M62" s="154">
        <f>ROUND(SUM(П000010017205,П000010017206,П000010017207,П000010017208,),2)</f>
        <v>36650</v>
      </c>
      <c r="N62" s="154"/>
      <c r="O62" s="54">
        <f aca="true" t="shared" si="1" ref="O62:O68">ROUND(IF(D62-M62&gt;0,IF(D62=0,0,D62-M62),0),2)</f>
        <v>18450</v>
      </c>
    </row>
    <row r="63" spans="1:15" ht="12.75" customHeight="1">
      <c r="A63" s="107" t="s">
        <v>73</v>
      </c>
      <c r="B63" s="32" t="s">
        <v>93</v>
      </c>
      <c r="C63" s="26" t="s">
        <v>107</v>
      </c>
      <c r="D63" s="53">
        <v>3029599.28</v>
      </c>
      <c r="E63" s="147">
        <v>1056854.84</v>
      </c>
      <c r="F63" s="147"/>
      <c r="G63" s="147">
        <v>0</v>
      </c>
      <c r="H63" s="147"/>
      <c r="I63" s="147">
        <v>0</v>
      </c>
      <c r="J63" s="147"/>
      <c r="K63" s="147">
        <v>0</v>
      </c>
      <c r="L63" s="147"/>
      <c r="M63" s="154">
        <f>ROUND(SUM(П000010017305,П000010017306,П000010017307,П000010017308),2)</f>
        <v>1056854.84</v>
      </c>
      <c r="N63" s="154"/>
      <c r="O63" s="54">
        <f t="shared" si="1"/>
        <v>1972744.44</v>
      </c>
    </row>
    <row r="64" spans="1:15" ht="12.75" customHeight="1">
      <c r="A64" s="107" t="s">
        <v>74</v>
      </c>
      <c r="B64" s="32" t="s">
        <v>94</v>
      </c>
      <c r="C64" s="26" t="s">
        <v>108</v>
      </c>
      <c r="D64" s="53">
        <v>0</v>
      </c>
      <c r="E64" s="147">
        <v>0</v>
      </c>
      <c r="F64" s="147"/>
      <c r="G64" s="147">
        <v>0</v>
      </c>
      <c r="H64" s="147"/>
      <c r="I64" s="147">
        <v>0</v>
      </c>
      <c r="J64" s="147"/>
      <c r="K64" s="147">
        <v>0</v>
      </c>
      <c r="L64" s="147"/>
      <c r="M64" s="154">
        <f>ROUND(SUM(П000010017405,П000010017406,П000010017407,П000010017408),2)</f>
        <v>0</v>
      </c>
      <c r="N64" s="154"/>
      <c r="O64" s="54">
        <f t="shared" si="1"/>
        <v>0</v>
      </c>
    </row>
    <row r="65" spans="1:15" ht="12.75" customHeight="1">
      <c r="A65" s="107" t="s">
        <v>75</v>
      </c>
      <c r="B65" s="32" t="s">
        <v>95</v>
      </c>
      <c r="C65" s="26" t="s">
        <v>109</v>
      </c>
      <c r="D65" s="53">
        <v>861000</v>
      </c>
      <c r="E65" s="147">
        <v>360866.93</v>
      </c>
      <c r="F65" s="147"/>
      <c r="G65" s="147">
        <v>0</v>
      </c>
      <c r="H65" s="147"/>
      <c r="I65" s="147">
        <v>0</v>
      </c>
      <c r="J65" s="147"/>
      <c r="K65" s="147">
        <v>0</v>
      </c>
      <c r="L65" s="147"/>
      <c r="M65" s="154">
        <f>ROUND(SUM(П000010017505,П000010017506,П000010017507,П000010017508),2)</f>
        <v>360866.93</v>
      </c>
      <c r="N65" s="154"/>
      <c r="O65" s="54">
        <f t="shared" si="1"/>
        <v>500133.07</v>
      </c>
    </row>
    <row r="66" spans="1:15" ht="12.75" customHeight="1">
      <c r="A66" s="107" t="s">
        <v>76</v>
      </c>
      <c r="B66" s="32" t="s">
        <v>96</v>
      </c>
      <c r="C66" s="26" t="s">
        <v>110</v>
      </c>
      <c r="D66" s="53">
        <v>1119580.72</v>
      </c>
      <c r="E66" s="147">
        <v>462963.64</v>
      </c>
      <c r="F66" s="147"/>
      <c r="G66" s="147">
        <v>0</v>
      </c>
      <c r="H66" s="147"/>
      <c r="I66" s="147">
        <v>0</v>
      </c>
      <c r="J66" s="147"/>
      <c r="K66" s="147">
        <v>0</v>
      </c>
      <c r="L66" s="147"/>
      <c r="M66" s="154">
        <f>ROUND(SUM(П000010017605,П000010017606,П000010017607,П000010017608),2)</f>
        <v>462963.64</v>
      </c>
      <c r="N66" s="154"/>
      <c r="O66" s="54">
        <f t="shared" si="1"/>
        <v>656617.08</v>
      </c>
    </row>
    <row r="67" spans="1:15" ht="12.75" customHeight="1">
      <c r="A67" s="106" t="s">
        <v>80</v>
      </c>
      <c r="B67" s="32" t="s">
        <v>97</v>
      </c>
      <c r="C67" s="26" t="s">
        <v>111</v>
      </c>
      <c r="D67" s="57">
        <f>ROUND(SUM(П000010019104,П000010019204),2)</f>
        <v>0</v>
      </c>
      <c r="E67" s="133">
        <f>ROUND(SUM(П000010019105,П000010019205),2)</f>
        <v>0</v>
      </c>
      <c r="F67" s="133"/>
      <c r="G67" s="133">
        <f>ROUND(SUM(П000010019106,П000010019206),2)</f>
        <v>0</v>
      </c>
      <c r="H67" s="133"/>
      <c r="I67" s="133">
        <f>ROUND(SUM(П000010019107,П000010019207),2)</f>
        <v>0</v>
      </c>
      <c r="J67" s="133"/>
      <c r="K67" s="133">
        <f>ROUND(SUM(П000010019108,П000010019208),2)</f>
        <v>0</v>
      </c>
      <c r="L67" s="133"/>
      <c r="M67" s="154">
        <f>ROUND(SUM(П000010019005,П000010019006,П000010019007,П000010019008,),2)</f>
        <v>0</v>
      </c>
      <c r="N67" s="154"/>
      <c r="O67" s="54">
        <f t="shared" si="1"/>
        <v>0</v>
      </c>
    </row>
    <row r="68" spans="1:15" ht="12.75" customHeight="1">
      <c r="A68" s="104" t="s">
        <v>25</v>
      </c>
      <c r="B68" s="189" t="s">
        <v>98</v>
      </c>
      <c r="C68" s="198" t="s">
        <v>112</v>
      </c>
      <c r="D68" s="184">
        <v>0</v>
      </c>
      <c r="E68" s="184">
        <v>0</v>
      </c>
      <c r="F68" s="185"/>
      <c r="G68" s="184">
        <v>0</v>
      </c>
      <c r="H68" s="185"/>
      <c r="I68" s="184">
        <v>0</v>
      </c>
      <c r="J68" s="185"/>
      <c r="K68" s="184">
        <v>0</v>
      </c>
      <c r="L68" s="185"/>
      <c r="M68" s="176">
        <f>ROUND(SUM(П000010019105,П000010019106,П000010019107,П000010019108),2)</f>
        <v>0</v>
      </c>
      <c r="N68" s="177"/>
      <c r="O68" s="168">
        <f t="shared" si="1"/>
        <v>0</v>
      </c>
    </row>
    <row r="69" spans="1:15" ht="22.5" customHeight="1">
      <c r="A69" s="107" t="s">
        <v>81</v>
      </c>
      <c r="B69" s="190"/>
      <c r="C69" s="199"/>
      <c r="D69" s="186"/>
      <c r="E69" s="186"/>
      <c r="F69" s="187"/>
      <c r="G69" s="186"/>
      <c r="H69" s="187"/>
      <c r="I69" s="186"/>
      <c r="J69" s="187"/>
      <c r="K69" s="186"/>
      <c r="L69" s="187"/>
      <c r="M69" s="178"/>
      <c r="N69" s="179"/>
      <c r="O69" s="169"/>
    </row>
    <row r="70" spans="1:15" ht="23.25" customHeight="1">
      <c r="A70" s="107" t="s">
        <v>82</v>
      </c>
      <c r="B70" s="32" t="s">
        <v>99</v>
      </c>
      <c r="C70" s="26" t="s">
        <v>113</v>
      </c>
      <c r="D70" s="53">
        <v>0</v>
      </c>
      <c r="E70" s="147">
        <v>0</v>
      </c>
      <c r="F70" s="147"/>
      <c r="G70" s="147">
        <v>0</v>
      </c>
      <c r="H70" s="147"/>
      <c r="I70" s="147">
        <v>0</v>
      </c>
      <c r="J70" s="147"/>
      <c r="K70" s="147">
        <v>0</v>
      </c>
      <c r="L70" s="147"/>
      <c r="M70" s="154">
        <f>ROUND(SUM(П000010019205,П000010019206,П000010019207,П000010019208),2)</f>
        <v>0</v>
      </c>
      <c r="N70" s="154"/>
      <c r="O70" s="54">
        <f>ROUND(IF(D70-M70&gt;0,IF(D70=0,0,D70-M70),0),2)</f>
        <v>0</v>
      </c>
    </row>
    <row r="71" spans="1:15" ht="12.75" customHeight="1">
      <c r="A71" s="106" t="s">
        <v>84</v>
      </c>
      <c r="B71" s="32" t="s">
        <v>100</v>
      </c>
      <c r="C71" s="26" t="s">
        <v>114</v>
      </c>
      <c r="D71" s="57">
        <f>ROUND(SUM(П000010021104,П000010021204),2)</f>
        <v>0</v>
      </c>
      <c r="E71" s="133">
        <f>ROUND(SUM(П000010021105,П000010021205),2)</f>
        <v>0</v>
      </c>
      <c r="F71" s="133"/>
      <c r="G71" s="133">
        <f>ROUND(SUM(П000010021106,П000010021206),2)</f>
        <v>0</v>
      </c>
      <c r="H71" s="133"/>
      <c r="I71" s="133">
        <f>ROUND(SUM(П000010021107,П000010021207),2)</f>
        <v>0</v>
      </c>
      <c r="J71" s="133"/>
      <c r="K71" s="133">
        <f>ROUND(SUM(П000010021108,П000010021208),2)</f>
        <v>0</v>
      </c>
      <c r="L71" s="133"/>
      <c r="M71" s="154">
        <f>ROUND(SUM(П000010021005,П000010021006,П000010021007,П000010021008),2)</f>
        <v>0</v>
      </c>
      <c r="N71" s="154"/>
      <c r="O71" s="54">
        <f>ROUND(IF(D71-M71&gt;0,IF(D71=0,0,D71-M71),0),2)</f>
        <v>0</v>
      </c>
    </row>
    <row r="72" spans="1:15" ht="12.75" customHeight="1">
      <c r="A72" s="104" t="s">
        <v>25</v>
      </c>
      <c r="B72" s="189" t="s">
        <v>101</v>
      </c>
      <c r="C72" s="191" t="s">
        <v>115</v>
      </c>
      <c r="D72" s="193">
        <v>0</v>
      </c>
      <c r="E72" s="184">
        <v>0</v>
      </c>
      <c r="F72" s="185"/>
      <c r="G72" s="184">
        <v>0</v>
      </c>
      <c r="H72" s="185"/>
      <c r="I72" s="184">
        <v>0</v>
      </c>
      <c r="J72" s="185"/>
      <c r="K72" s="184">
        <v>0</v>
      </c>
      <c r="L72" s="185"/>
      <c r="M72" s="176">
        <f>ROUND(SUM(П000010021105,П000010021106,П000010021107,П000010021108),2)</f>
        <v>0</v>
      </c>
      <c r="N72" s="177"/>
      <c r="O72" s="168">
        <f>ROUND(IF(D72-M72&gt;0,IF(D72=0,0,D72-M72),0),2)</f>
        <v>0</v>
      </c>
    </row>
    <row r="73" spans="1:15" ht="24" customHeight="1">
      <c r="A73" s="107" t="s">
        <v>83</v>
      </c>
      <c r="B73" s="190"/>
      <c r="C73" s="192"/>
      <c r="D73" s="194"/>
      <c r="E73" s="186"/>
      <c r="F73" s="187"/>
      <c r="G73" s="186"/>
      <c r="H73" s="187"/>
      <c r="I73" s="186"/>
      <c r="J73" s="187"/>
      <c r="K73" s="186"/>
      <c r="L73" s="187"/>
      <c r="M73" s="178"/>
      <c r="N73" s="179"/>
      <c r="O73" s="169"/>
    </row>
    <row r="74" spans="1:15" ht="34.5" customHeight="1" thickBot="1">
      <c r="A74" s="107" t="s">
        <v>223</v>
      </c>
      <c r="B74" s="33" t="s">
        <v>102</v>
      </c>
      <c r="C74" s="34" t="s">
        <v>116</v>
      </c>
      <c r="D74" s="58">
        <v>0</v>
      </c>
      <c r="E74" s="195">
        <v>0</v>
      </c>
      <c r="F74" s="195"/>
      <c r="G74" s="195">
        <v>0</v>
      </c>
      <c r="H74" s="195"/>
      <c r="I74" s="195">
        <v>0</v>
      </c>
      <c r="J74" s="195"/>
      <c r="K74" s="195">
        <v>0</v>
      </c>
      <c r="L74" s="195"/>
      <c r="M74" s="196">
        <f>ROUND(SUM(П000010021205,П000010021206,П000010021207,П000010021208),2)</f>
        <v>0</v>
      </c>
      <c r="N74" s="196"/>
      <c r="O74" s="59">
        <f>ROUND(IF(D74-M74&gt;0,IF(D74=0,0,D74-M74),0),2)</f>
        <v>0</v>
      </c>
    </row>
    <row r="75" spans="1:15" ht="13.5" customHeight="1">
      <c r="A75" s="10"/>
      <c r="B75" s="7"/>
      <c r="C75" s="11"/>
      <c r="D75" s="24"/>
      <c r="E75" s="24"/>
      <c r="F75" s="24"/>
      <c r="G75" s="24"/>
      <c r="H75" s="24"/>
      <c r="I75" s="1"/>
      <c r="J75" s="1"/>
      <c r="K75" s="1"/>
      <c r="L75" s="1"/>
      <c r="M75" s="1"/>
      <c r="N75" s="16"/>
      <c r="O75" s="23" t="s">
        <v>196</v>
      </c>
    </row>
    <row r="76" spans="1:15" ht="15" customHeight="1">
      <c r="A76" s="143" t="s">
        <v>10</v>
      </c>
      <c r="B76" s="149" t="s">
        <v>11</v>
      </c>
      <c r="C76" s="149" t="s">
        <v>18</v>
      </c>
      <c r="D76" s="149" t="s">
        <v>188</v>
      </c>
      <c r="E76" s="149" t="s">
        <v>12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 t="s">
        <v>17</v>
      </c>
    </row>
    <row r="77" spans="1:15" ht="33.75" customHeight="1">
      <c r="A77" s="144"/>
      <c r="B77" s="149"/>
      <c r="C77" s="149"/>
      <c r="D77" s="149"/>
      <c r="E77" s="157" t="s">
        <v>189</v>
      </c>
      <c r="F77" s="167"/>
      <c r="G77" s="157" t="s">
        <v>13</v>
      </c>
      <c r="H77" s="167"/>
      <c r="I77" s="157" t="s">
        <v>14</v>
      </c>
      <c r="J77" s="167"/>
      <c r="K77" s="157" t="s">
        <v>15</v>
      </c>
      <c r="L77" s="167"/>
      <c r="M77" s="149" t="s">
        <v>16</v>
      </c>
      <c r="N77" s="149"/>
      <c r="O77" s="149"/>
    </row>
    <row r="78" spans="1:15" ht="13.5" thickBot="1">
      <c r="A78" s="97">
        <v>1</v>
      </c>
      <c r="B78" s="29">
        <v>2</v>
      </c>
      <c r="C78" s="29">
        <v>3</v>
      </c>
      <c r="D78" s="29">
        <v>4</v>
      </c>
      <c r="E78" s="166">
        <v>5</v>
      </c>
      <c r="F78" s="166"/>
      <c r="G78" s="166">
        <v>6</v>
      </c>
      <c r="H78" s="166"/>
      <c r="I78" s="166">
        <v>7</v>
      </c>
      <c r="J78" s="166"/>
      <c r="K78" s="166">
        <v>8</v>
      </c>
      <c r="L78" s="166"/>
      <c r="M78" s="166">
        <v>9</v>
      </c>
      <c r="N78" s="166"/>
      <c r="O78" s="29">
        <v>10</v>
      </c>
    </row>
    <row r="79" spans="1:15" ht="12.75" customHeight="1">
      <c r="A79" s="106" t="s">
        <v>117</v>
      </c>
      <c r="B79" s="30" t="s">
        <v>111</v>
      </c>
      <c r="C79" s="31" t="s">
        <v>134</v>
      </c>
      <c r="D79" s="60">
        <f>ROUND(SUM(П000010023204,П000010023304),2)</f>
        <v>0</v>
      </c>
      <c r="E79" s="204">
        <f>ROUND(SUM(П000010023205,П000010023305),2)</f>
        <v>0</v>
      </c>
      <c r="F79" s="204"/>
      <c r="G79" s="204">
        <f>ROUND(SUM(П000010023206,П000010023306),2)</f>
        <v>0</v>
      </c>
      <c r="H79" s="204"/>
      <c r="I79" s="204">
        <f>ROUND(SUM(П000010023207,П000010023307),2)</f>
        <v>0</v>
      </c>
      <c r="J79" s="204"/>
      <c r="K79" s="204">
        <f>ROUND(SUM(П000010023208,П000010023308),2)</f>
        <v>0</v>
      </c>
      <c r="L79" s="204"/>
      <c r="M79" s="152">
        <f>ROUND(SUM(П000010023005,П000010023006,П000010023007,П000010023008),2)</f>
        <v>0</v>
      </c>
      <c r="N79" s="152"/>
      <c r="O79" s="52">
        <f>ROUND(IF(D79-M79&gt;0,IF(D79=0,0,D79-M79),0),2)</f>
        <v>0</v>
      </c>
    </row>
    <row r="80" spans="1:15" ht="12.75" customHeight="1">
      <c r="A80" s="104" t="s">
        <v>25</v>
      </c>
      <c r="B80" s="189" t="s">
        <v>113</v>
      </c>
      <c r="C80" s="191" t="s">
        <v>145</v>
      </c>
      <c r="D80" s="193">
        <v>0</v>
      </c>
      <c r="E80" s="184">
        <v>0</v>
      </c>
      <c r="F80" s="185"/>
      <c r="G80" s="184">
        <v>0</v>
      </c>
      <c r="H80" s="185"/>
      <c r="I80" s="184">
        <v>0</v>
      </c>
      <c r="J80" s="185"/>
      <c r="K80" s="184">
        <v>0</v>
      </c>
      <c r="L80" s="185"/>
      <c r="M80" s="176">
        <f>ROUND(SUM(П000010023205,П000010023206,П000010023207,П000010023208),2)</f>
        <v>0</v>
      </c>
      <c r="N80" s="177"/>
      <c r="O80" s="168">
        <f>ROUND(IF(D80-M80&gt;0,IF(D80=0,0,D80-M80),0),2)</f>
        <v>0</v>
      </c>
    </row>
    <row r="81" spans="1:15" ht="33" customHeight="1">
      <c r="A81" s="107" t="s">
        <v>118</v>
      </c>
      <c r="B81" s="190"/>
      <c r="C81" s="192"/>
      <c r="D81" s="194"/>
      <c r="E81" s="186"/>
      <c r="F81" s="187"/>
      <c r="G81" s="186"/>
      <c r="H81" s="187"/>
      <c r="I81" s="186"/>
      <c r="J81" s="187"/>
      <c r="K81" s="186"/>
      <c r="L81" s="187"/>
      <c r="M81" s="178"/>
      <c r="N81" s="179"/>
      <c r="O81" s="169"/>
    </row>
    <row r="82" spans="1:15" ht="11.25" customHeight="1">
      <c r="A82" s="112" t="s">
        <v>119</v>
      </c>
      <c r="B82" s="32" t="s">
        <v>132</v>
      </c>
      <c r="C82" s="26" t="s">
        <v>146</v>
      </c>
      <c r="D82" s="53">
        <v>0</v>
      </c>
      <c r="E82" s="147">
        <v>0</v>
      </c>
      <c r="F82" s="147"/>
      <c r="G82" s="147">
        <v>0</v>
      </c>
      <c r="H82" s="147"/>
      <c r="I82" s="147">
        <v>0</v>
      </c>
      <c r="J82" s="147"/>
      <c r="K82" s="147">
        <v>0</v>
      </c>
      <c r="L82" s="147"/>
      <c r="M82" s="154">
        <f>ROUND(SUM(П000010023305,П000010023306,П000010023307,П000010023308),2)</f>
        <v>0</v>
      </c>
      <c r="N82" s="154"/>
      <c r="O82" s="54">
        <f>ROUND(IF(D82-M82&gt;0,IF(D82=0,0,D82-M82),0),2)</f>
        <v>0</v>
      </c>
    </row>
    <row r="83" spans="1:15" ht="12.75" customHeight="1">
      <c r="A83" s="106" t="s">
        <v>131</v>
      </c>
      <c r="B83" s="32" t="s">
        <v>114</v>
      </c>
      <c r="C83" s="26" t="s">
        <v>135</v>
      </c>
      <c r="D83" s="57">
        <f>ROUND(SUM(П000010024204,П000010024304),2)</f>
        <v>0</v>
      </c>
      <c r="E83" s="133">
        <f>ROUND(SUM(П000010024205,П000010024305),2)</f>
        <v>0</v>
      </c>
      <c r="F83" s="133"/>
      <c r="G83" s="133">
        <f>ROUND(SUM(П000010024206,П000010024306),2)</f>
        <v>0</v>
      </c>
      <c r="H83" s="133"/>
      <c r="I83" s="133">
        <f>ROUND(SUM(П000010024207,П000010024307),2)</f>
        <v>0</v>
      </c>
      <c r="J83" s="133"/>
      <c r="K83" s="133">
        <f>ROUND(SUM(П000010024208,П000010024308),2)</f>
        <v>0</v>
      </c>
      <c r="L83" s="133"/>
      <c r="M83" s="154">
        <f>ROUND(SUM(П000010024005,П000010024006,П000010024007,П000010024008),2)</f>
        <v>0</v>
      </c>
      <c r="N83" s="154"/>
      <c r="O83" s="54">
        <f>ROUND(IF(D83-M83&gt;0,IF(D83=0,0,D83-M83),0),2)</f>
        <v>0</v>
      </c>
    </row>
    <row r="84" spans="1:15" ht="12.75" customHeight="1">
      <c r="A84" s="104" t="s">
        <v>25</v>
      </c>
      <c r="B84" s="189" t="s">
        <v>116</v>
      </c>
      <c r="C84" s="191" t="s">
        <v>137</v>
      </c>
      <c r="D84" s="193">
        <v>0</v>
      </c>
      <c r="E84" s="184">
        <v>0</v>
      </c>
      <c r="F84" s="185"/>
      <c r="G84" s="184">
        <v>0</v>
      </c>
      <c r="H84" s="185"/>
      <c r="I84" s="184">
        <v>0</v>
      </c>
      <c r="J84" s="185"/>
      <c r="K84" s="184">
        <v>0</v>
      </c>
      <c r="L84" s="185"/>
      <c r="M84" s="176">
        <f>ROUND(SUM(П000010024205,П000010024206,П000010024207,П000010024208),2)</f>
        <v>0</v>
      </c>
      <c r="N84" s="177"/>
      <c r="O84" s="168">
        <f>ROUND(IF(D84-M84&gt;0,IF(D84=0,0,D84-M84),0),2)</f>
        <v>0</v>
      </c>
    </row>
    <row r="85" spans="1:15" ht="11.25" customHeight="1">
      <c r="A85" s="107" t="s">
        <v>120</v>
      </c>
      <c r="B85" s="190"/>
      <c r="C85" s="192"/>
      <c r="D85" s="194"/>
      <c r="E85" s="186"/>
      <c r="F85" s="187"/>
      <c r="G85" s="186"/>
      <c r="H85" s="187"/>
      <c r="I85" s="186"/>
      <c r="J85" s="187"/>
      <c r="K85" s="186"/>
      <c r="L85" s="187"/>
      <c r="M85" s="178"/>
      <c r="N85" s="179"/>
      <c r="O85" s="169"/>
    </row>
    <row r="86" spans="1:15" ht="33.75" customHeight="1">
      <c r="A86" s="107" t="s">
        <v>121</v>
      </c>
      <c r="B86" s="32" t="s">
        <v>133</v>
      </c>
      <c r="C86" s="26" t="s">
        <v>138</v>
      </c>
      <c r="D86" s="53">
        <v>0</v>
      </c>
      <c r="E86" s="147">
        <v>0</v>
      </c>
      <c r="F86" s="147"/>
      <c r="G86" s="147">
        <v>0</v>
      </c>
      <c r="H86" s="147"/>
      <c r="I86" s="147">
        <v>0</v>
      </c>
      <c r="J86" s="147"/>
      <c r="K86" s="147">
        <v>0</v>
      </c>
      <c r="L86" s="147"/>
      <c r="M86" s="154">
        <f>ROUND(SUM(П000010024305,П000010024306,П000010024307,П000010024308),2)</f>
        <v>0</v>
      </c>
      <c r="N86" s="154"/>
      <c r="O86" s="54">
        <f>ROUND(IF(D86-M86&gt;0,IF(D86=0,0,D86-M86),0),2)</f>
        <v>0</v>
      </c>
    </row>
    <row r="87" spans="1:15" ht="12.75" customHeight="1">
      <c r="A87" s="106" t="s">
        <v>122</v>
      </c>
      <c r="B87" s="32" t="s">
        <v>134</v>
      </c>
      <c r="C87" s="26" t="s">
        <v>147</v>
      </c>
      <c r="D87" s="53">
        <v>1966980</v>
      </c>
      <c r="E87" s="147">
        <v>610989.28</v>
      </c>
      <c r="F87" s="147"/>
      <c r="G87" s="147">
        <v>0</v>
      </c>
      <c r="H87" s="147"/>
      <c r="I87" s="147">
        <v>0</v>
      </c>
      <c r="J87" s="147"/>
      <c r="K87" s="147">
        <v>0</v>
      </c>
      <c r="L87" s="147"/>
      <c r="M87" s="154">
        <f>ROUND(SUM(П000010025005,П000010025006,П000010025007,П000010025008),2)</f>
        <v>610989.28</v>
      </c>
      <c r="N87" s="154"/>
      <c r="O87" s="54">
        <f>ROUND(IF(D87-M87&gt;0,IF(D87=0,0,D87-M87),0),2)</f>
        <v>1355990.72</v>
      </c>
    </row>
    <row r="88" spans="1:15" ht="25.5" customHeight="1">
      <c r="A88" s="106" t="s">
        <v>193</v>
      </c>
      <c r="B88" s="32" t="s">
        <v>135</v>
      </c>
      <c r="C88" s="26" t="s">
        <v>148</v>
      </c>
      <c r="D88" s="57">
        <f>ROUND(SUM(П000010026104,П000010026204,П000010026304,П000010026404),2)</f>
        <v>5195849.84</v>
      </c>
      <c r="E88" s="133">
        <f>ROUND(SUM(П000010026105,П000010026205,П000010026305,П000010026405),2)</f>
        <v>2182697.95</v>
      </c>
      <c r="F88" s="133"/>
      <c r="G88" s="133">
        <f>ROUND(SUM(П000010026106,П000010026206,П000010026306,П000010026406),2)</f>
        <v>0</v>
      </c>
      <c r="H88" s="133"/>
      <c r="I88" s="133">
        <f>ROUND(SUM(П000010026107,П000010026207,П000010026307,П000010026407),2)</f>
        <v>0</v>
      </c>
      <c r="J88" s="133"/>
      <c r="K88" s="133">
        <f>ROUND(SUM(П000010026108,П000010026208,П000010026308,П000010026408),2)</f>
        <v>0</v>
      </c>
      <c r="L88" s="133"/>
      <c r="M88" s="154">
        <f>ROUND(SUM(П000010026005,П000010026006,П000010026007,П000010026008),2)</f>
        <v>2182697.95</v>
      </c>
      <c r="N88" s="154"/>
      <c r="O88" s="54">
        <f>ROUND(IF(D88-M88&gt;0,IF(D88=0,0,D88-M88),0),2)</f>
        <v>3013151.89</v>
      </c>
    </row>
    <row r="89" spans="1:15" ht="12.75" customHeight="1">
      <c r="A89" s="104" t="s">
        <v>25</v>
      </c>
      <c r="B89" s="189" t="s">
        <v>136</v>
      </c>
      <c r="C89" s="191" t="s">
        <v>149</v>
      </c>
      <c r="D89" s="193">
        <v>1205369.84</v>
      </c>
      <c r="E89" s="184">
        <v>431031.01</v>
      </c>
      <c r="F89" s="185"/>
      <c r="G89" s="184">
        <v>0</v>
      </c>
      <c r="H89" s="185"/>
      <c r="I89" s="184">
        <v>0</v>
      </c>
      <c r="J89" s="185"/>
      <c r="K89" s="184">
        <v>0</v>
      </c>
      <c r="L89" s="185"/>
      <c r="M89" s="176">
        <f>ROUND(SUM(П000010026105,П000010026106,П000010026107,П000010026108),2)</f>
        <v>431031.01</v>
      </c>
      <c r="N89" s="177"/>
      <c r="O89" s="168">
        <f>ROUND(IF(D89-M89&gt;0,IF(D89=0,0,D89-M89),0),2)</f>
        <v>774338.83</v>
      </c>
    </row>
    <row r="90" spans="1:15" ht="12.75" customHeight="1">
      <c r="A90" s="107" t="s">
        <v>123</v>
      </c>
      <c r="B90" s="190"/>
      <c r="C90" s="192"/>
      <c r="D90" s="194"/>
      <c r="E90" s="186"/>
      <c r="F90" s="187"/>
      <c r="G90" s="186"/>
      <c r="H90" s="187"/>
      <c r="I90" s="186"/>
      <c r="J90" s="187"/>
      <c r="K90" s="186"/>
      <c r="L90" s="187"/>
      <c r="M90" s="178"/>
      <c r="N90" s="179"/>
      <c r="O90" s="169"/>
    </row>
    <row r="91" spans="1:15" ht="12.75" customHeight="1">
      <c r="A91" s="107" t="s">
        <v>124</v>
      </c>
      <c r="B91" s="32" t="s">
        <v>137</v>
      </c>
      <c r="C91" s="26" t="s">
        <v>150</v>
      </c>
      <c r="D91" s="53">
        <v>0</v>
      </c>
      <c r="E91" s="147">
        <v>0</v>
      </c>
      <c r="F91" s="147"/>
      <c r="G91" s="147">
        <v>0</v>
      </c>
      <c r="H91" s="147"/>
      <c r="I91" s="147">
        <v>0</v>
      </c>
      <c r="J91" s="147"/>
      <c r="K91" s="147">
        <v>0</v>
      </c>
      <c r="L91" s="147"/>
      <c r="M91" s="154">
        <f>ROUND(SUM(П000010026205,П000010026206,П000010026207,П000010026208),2)</f>
        <v>0</v>
      </c>
      <c r="N91" s="154"/>
      <c r="O91" s="54">
        <f>ROUND(IF(D91-M91&gt;0,IF(D91=0,0,D91-M91),0),2)</f>
        <v>0</v>
      </c>
    </row>
    <row r="92" spans="1:15" ht="12.75" customHeight="1">
      <c r="A92" s="107" t="s">
        <v>125</v>
      </c>
      <c r="B92" s="32" t="s">
        <v>138</v>
      </c>
      <c r="C92" s="26" t="s">
        <v>151</v>
      </c>
      <c r="D92" s="53">
        <v>0</v>
      </c>
      <c r="E92" s="147">
        <v>0</v>
      </c>
      <c r="F92" s="147"/>
      <c r="G92" s="147">
        <v>0</v>
      </c>
      <c r="H92" s="147"/>
      <c r="I92" s="147">
        <v>0</v>
      </c>
      <c r="J92" s="147"/>
      <c r="K92" s="147">
        <v>0</v>
      </c>
      <c r="L92" s="147"/>
      <c r="M92" s="154">
        <f>ROUND(SUM(П000010026305,П000010026306,П000010026307,П000010026308),2)</f>
        <v>0</v>
      </c>
      <c r="N92" s="154"/>
      <c r="O92" s="54">
        <f>ROUND(IF(D92-M92&gt;0,IF(D92=0,0,D92-M92),0),2)</f>
        <v>0</v>
      </c>
    </row>
    <row r="93" spans="1:15" ht="12.75" customHeight="1">
      <c r="A93" s="107" t="s">
        <v>126</v>
      </c>
      <c r="B93" s="32" t="s">
        <v>139</v>
      </c>
      <c r="C93" s="26" t="s">
        <v>152</v>
      </c>
      <c r="D93" s="53">
        <v>3990480</v>
      </c>
      <c r="E93" s="147">
        <v>1751666.94</v>
      </c>
      <c r="F93" s="147"/>
      <c r="G93" s="147">
        <v>0</v>
      </c>
      <c r="H93" s="147"/>
      <c r="I93" s="147">
        <v>0</v>
      </c>
      <c r="J93" s="147"/>
      <c r="K93" s="147">
        <v>0</v>
      </c>
      <c r="L93" s="147"/>
      <c r="M93" s="154">
        <f>ROUND(SUM(П000010026405,П000010026406,П000010026407,П000010026408),2)</f>
        <v>1751666.94</v>
      </c>
      <c r="N93" s="154"/>
      <c r="O93" s="54">
        <f>ROUND(IF(D93-M93&gt;0,IF(D93=0,0,D93-M93),0),2)</f>
        <v>2238813.06</v>
      </c>
    </row>
    <row r="94" spans="1:15" ht="24" customHeight="1">
      <c r="A94" s="106" t="s">
        <v>194</v>
      </c>
      <c r="B94" s="32" t="s">
        <v>140</v>
      </c>
      <c r="C94" s="26" t="s">
        <v>153</v>
      </c>
      <c r="D94" s="57">
        <f>ROUND(SUM(П000010027104,П000010027204,П000010027304),2)</f>
        <v>0</v>
      </c>
      <c r="E94" s="133">
        <f>ROUND(SUM(П000010027105,П000010027205,П000010027305),2)</f>
        <v>0</v>
      </c>
      <c r="F94" s="133"/>
      <c r="G94" s="133">
        <f>ROUND(SUM(П000010027106,П000010027206,П000010027306),2)</f>
        <v>0</v>
      </c>
      <c r="H94" s="133"/>
      <c r="I94" s="133">
        <f>ROUND(SUM(П000010027107,П000010027207,П000010027307),2)</f>
        <v>0</v>
      </c>
      <c r="J94" s="133"/>
      <c r="K94" s="133">
        <f>ROUND(SUM(П000010027108,П000010027208,П000010027308),2)</f>
        <v>0</v>
      </c>
      <c r="L94" s="133"/>
      <c r="M94" s="154">
        <f>ROUND(SUM(П000010027005,П000010027006,П000010027007,П000010027008),2)</f>
        <v>0</v>
      </c>
      <c r="N94" s="154"/>
      <c r="O94" s="54">
        <f>ROUND(IF(D94-M94&gt;0,IF(D94=0,0,D94-M94),0),2)</f>
        <v>0</v>
      </c>
    </row>
    <row r="95" spans="1:15" ht="12.75" customHeight="1">
      <c r="A95" s="104" t="s">
        <v>22</v>
      </c>
      <c r="B95" s="189" t="s">
        <v>141</v>
      </c>
      <c r="C95" s="191" t="s">
        <v>154</v>
      </c>
      <c r="D95" s="193">
        <v>0</v>
      </c>
      <c r="E95" s="184">
        <v>0</v>
      </c>
      <c r="F95" s="185"/>
      <c r="G95" s="184">
        <v>0</v>
      </c>
      <c r="H95" s="185"/>
      <c r="I95" s="184">
        <v>0</v>
      </c>
      <c r="J95" s="185"/>
      <c r="K95" s="184">
        <v>0</v>
      </c>
      <c r="L95" s="185"/>
      <c r="M95" s="176">
        <f>ROUND(SUM(П000010027105,П000010027106,П000010027107,П000010027108),2)</f>
        <v>0</v>
      </c>
      <c r="N95" s="177"/>
      <c r="O95" s="168">
        <f>ROUND(IF(D95-M95&gt;0,IF(D95=0,0,D95-M95),0),2)</f>
        <v>0</v>
      </c>
    </row>
    <row r="96" spans="1:15" ht="12.75" customHeight="1">
      <c r="A96" s="107" t="s">
        <v>127</v>
      </c>
      <c r="B96" s="190"/>
      <c r="C96" s="192"/>
      <c r="D96" s="194"/>
      <c r="E96" s="186"/>
      <c r="F96" s="187"/>
      <c r="G96" s="186"/>
      <c r="H96" s="187"/>
      <c r="I96" s="186"/>
      <c r="J96" s="187"/>
      <c r="K96" s="186"/>
      <c r="L96" s="187"/>
      <c r="M96" s="178"/>
      <c r="N96" s="179"/>
      <c r="O96" s="169"/>
    </row>
    <row r="97" spans="1:15" ht="12.75" customHeight="1">
      <c r="A97" s="107" t="s">
        <v>128</v>
      </c>
      <c r="B97" s="32" t="s">
        <v>142</v>
      </c>
      <c r="C97" s="26" t="s">
        <v>155</v>
      </c>
      <c r="D97" s="53">
        <v>0</v>
      </c>
      <c r="E97" s="147">
        <v>0</v>
      </c>
      <c r="F97" s="147"/>
      <c r="G97" s="147">
        <v>0</v>
      </c>
      <c r="H97" s="147"/>
      <c r="I97" s="147">
        <v>0</v>
      </c>
      <c r="J97" s="147"/>
      <c r="K97" s="147">
        <v>0</v>
      </c>
      <c r="L97" s="147"/>
      <c r="M97" s="154">
        <f>ROUND(SUM(П000010027205,П000010027206,П000010027207,П000010027208),2)</f>
        <v>0</v>
      </c>
      <c r="N97" s="154"/>
      <c r="O97" s="54">
        <f>ROUND(IF(D97-M97&gt;0,IF(D97=0,0,D97-M97),0),2)</f>
        <v>0</v>
      </c>
    </row>
    <row r="98" spans="1:15" ht="12.75" customHeight="1">
      <c r="A98" s="113" t="s">
        <v>129</v>
      </c>
      <c r="B98" s="32" t="s">
        <v>143</v>
      </c>
      <c r="C98" s="26" t="s">
        <v>156</v>
      </c>
      <c r="D98" s="53">
        <v>0</v>
      </c>
      <c r="E98" s="147">
        <v>0</v>
      </c>
      <c r="F98" s="147"/>
      <c r="G98" s="147">
        <v>0</v>
      </c>
      <c r="H98" s="147"/>
      <c r="I98" s="147">
        <v>0</v>
      </c>
      <c r="J98" s="147"/>
      <c r="K98" s="147">
        <v>0</v>
      </c>
      <c r="L98" s="147"/>
      <c r="M98" s="154">
        <f>ROUND(SUM(П000010027305,П000010027306,П000010027307,П000010027308),2)</f>
        <v>0</v>
      </c>
      <c r="N98" s="154"/>
      <c r="O98" s="54">
        <f>ROUND(IF(D98-M98&gt;0,IF(D98=0,0,D98-M98),0),2)</f>
        <v>0</v>
      </c>
    </row>
    <row r="99" spans="1:15" ht="33.75" customHeight="1" thickBot="1">
      <c r="A99" s="106" t="s">
        <v>208</v>
      </c>
      <c r="B99" s="79" t="s">
        <v>148</v>
      </c>
      <c r="C99" s="77"/>
      <c r="D99" s="78">
        <v>0</v>
      </c>
      <c r="E99" s="135">
        <v>0</v>
      </c>
      <c r="F99" s="135"/>
      <c r="G99" s="135">
        <v>0</v>
      </c>
      <c r="H99" s="135"/>
      <c r="I99" s="135">
        <v>0</v>
      </c>
      <c r="J99" s="135"/>
      <c r="K99" s="135">
        <v>0</v>
      </c>
      <c r="L99" s="135"/>
      <c r="M99" s="180">
        <f>ROUND(SUM(П000010030005,П000010030006,П000010030007,П000010030008),2)</f>
        <v>0</v>
      </c>
      <c r="N99" s="180"/>
      <c r="O99" s="124">
        <v>0</v>
      </c>
    </row>
    <row r="100" spans="1:15" ht="18" customHeight="1" thickBot="1">
      <c r="A100" s="114" t="s">
        <v>130</v>
      </c>
      <c r="B100" s="37" t="s">
        <v>144</v>
      </c>
      <c r="C100" s="37" t="s">
        <v>58</v>
      </c>
      <c r="D100" s="62">
        <f>ROUND(П000010001004-П000010020004-П000010030004,2)</f>
        <v>-30369.84</v>
      </c>
      <c r="E100" s="205">
        <f>ROUND(П000010001005-П000010020005-П000010030005,2)</f>
        <v>8700757.3</v>
      </c>
      <c r="F100" s="205"/>
      <c r="G100" s="205">
        <f>ROUND(П000010001006-П000010020006-П000010030006,2)</f>
        <v>0</v>
      </c>
      <c r="H100" s="205"/>
      <c r="I100" s="205">
        <f>ROUND(П000010001007-П000010020007-П000010030007,2)</f>
        <v>0</v>
      </c>
      <c r="J100" s="205"/>
      <c r="K100" s="205">
        <f>ROUND(П000010001008-П000010020008-П000010030008,2)</f>
        <v>0</v>
      </c>
      <c r="L100" s="205"/>
      <c r="M100" s="205">
        <f>ROUND(П000010001009-П000010020009-П000010030009,2)</f>
        <v>8700757.3</v>
      </c>
      <c r="N100" s="205"/>
      <c r="O100" s="64" t="s">
        <v>191</v>
      </c>
    </row>
    <row r="101" spans="1:15" ht="13.5" customHeight="1">
      <c r="A101" s="110"/>
      <c r="B101" s="27"/>
      <c r="C101" s="27"/>
      <c r="D101" s="28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8"/>
    </row>
    <row r="102" spans="1:15" ht="12.75">
      <c r="A102" s="10"/>
      <c r="B102" s="170" t="s">
        <v>187</v>
      </c>
      <c r="C102" s="170"/>
      <c r="D102" s="170"/>
      <c r="E102" s="170"/>
      <c r="F102" s="170"/>
      <c r="G102" s="170"/>
      <c r="H102" s="170"/>
      <c r="I102" s="170"/>
      <c r="J102" s="170"/>
      <c r="K102" s="1"/>
      <c r="L102" s="1"/>
      <c r="M102" s="1"/>
      <c r="N102" s="16"/>
      <c r="O102" s="13"/>
    </row>
    <row r="103" spans="1:15" ht="12.75">
      <c r="A103" s="109"/>
      <c r="O103" s="23" t="s">
        <v>197</v>
      </c>
    </row>
    <row r="104" spans="1:15" ht="15" customHeight="1">
      <c r="A104" s="143" t="s">
        <v>10</v>
      </c>
      <c r="B104" s="149" t="s">
        <v>11</v>
      </c>
      <c r="C104" s="149" t="s">
        <v>18</v>
      </c>
      <c r="D104" s="149" t="s">
        <v>188</v>
      </c>
      <c r="E104" s="149" t="s">
        <v>12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 t="s">
        <v>17</v>
      </c>
    </row>
    <row r="105" spans="1:15" ht="33.75" customHeight="1">
      <c r="A105" s="144"/>
      <c r="B105" s="149"/>
      <c r="C105" s="149"/>
      <c r="D105" s="149"/>
      <c r="E105" s="157" t="s">
        <v>189</v>
      </c>
      <c r="F105" s="167"/>
      <c r="G105" s="157" t="s">
        <v>13</v>
      </c>
      <c r="H105" s="167"/>
      <c r="I105" s="157" t="s">
        <v>14</v>
      </c>
      <c r="J105" s="167"/>
      <c r="K105" s="157" t="s">
        <v>15</v>
      </c>
      <c r="L105" s="167"/>
      <c r="M105" s="149" t="s">
        <v>16</v>
      </c>
      <c r="N105" s="149"/>
      <c r="O105" s="149"/>
    </row>
    <row r="106" spans="1:15" ht="13.5" thickBot="1">
      <c r="A106" s="97">
        <v>1</v>
      </c>
      <c r="B106" s="29">
        <v>2</v>
      </c>
      <c r="C106" s="29">
        <v>3</v>
      </c>
      <c r="D106" s="29">
        <v>4</v>
      </c>
      <c r="E106" s="166">
        <v>5</v>
      </c>
      <c r="F106" s="166"/>
      <c r="G106" s="166">
        <v>6</v>
      </c>
      <c r="H106" s="166"/>
      <c r="I106" s="166">
        <v>7</v>
      </c>
      <c r="J106" s="166"/>
      <c r="K106" s="166">
        <v>8</v>
      </c>
      <c r="L106" s="166"/>
      <c r="M106" s="166">
        <v>9</v>
      </c>
      <c r="N106" s="166"/>
      <c r="O106" s="29">
        <v>10</v>
      </c>
    </row>
    <row r="107" spans="1:15" ht="33.75" customHeight="1">
      <c r="A107" s="98" t="s">
        <v>202</v>
      </c>
      <c r="B107" s="39">
        <v>500</v>
      </c>
      <c r="C107" s="38" t="s">
        <v>58</v>
      </c>
      <c r="D107" s="51">
        <f>ROUND(SUM(П000010052004,П000010062004,П000010070004,П000010073004,П000010082004,П000010083004),2)</f>
        <v>30369.84</v>
      </c>
      <c r="E107" s="152">
        <f>ROUND(SUM(П000010052005,П000010062005,П000010070005,П000010073005,П000010082005,П000010083005),2)</f>
        <v>-8700757.3</v>
      </c>
      <c r="F107" s="152"/>
      <c r="G107" s="152">
        <f>ROUND(SUM(П000010052006,П000010062006,П000010070006,П000010073006,П000010082006,П000010083006),2)</f>
        <v>0</v>
      </c>
      <c r="H107" s="152"/>
      <c r="I107" s="152">
        <f>ROUND(SUM(П000010052007,П000010062007,П000010070007,П000010073007,П000010082007,П000010083007),2)</f>
        <v>0</v>
      </c>
      <c r="J107" s="152"/>
      <c r="K107" s="152">
        <f>ROUND(SUM(П000010052008,П000010062008,П000010070008,П000010073008,П000010082008,П000010083008),2)</f>
        <v>0</v>
      </c>
      <c r="L107" s="152"/>
      <c r="M107" s="152">
        <f>ROUND(SUM(П000010050005,П000010050006,П000010050007,П000010050008),2)</f>
        <v>-8700757.3</v>
      </c>
      <c r="N107" s="152"/>
      <c r="O107" s="52">
        <f>ROUND(IF(D107-M107&gt;0,IF(D107=0,0,D107-M107),0),2)</f>
        <v>8731127.14</v>
      </c>
    </row>
    <row r="108" spans="1:15" ht="12.75" customHeight="1">
      <c r="A108" s="115" t="s">
        <v>25</v>
      </c>
      <c r="B108" s="200">
        <v>520</v>
      </c>
      <c r="C108" s="202" t="s">
        <v>58</v>
      </c>
      <c r="D108" s="210">
        <f>ROUND(SUM(П000010052104,П000010052504,П000010052604,П000010052704,П000010052804),2)</f>
        <v>0</v>
      </c>
      <c r="E108" s="206">
        <f>ROUND(SUM(П000010052105,П000010052505,П000010052605,П000010052705,П000010052805),2)</f>
        <v>0</v>
      </c>
      <c r="F108" s="207"/>
      <c r="G108" s="206">
        <f>ROUND(SUM(П000010052106,П000010052506,П000010052606,П000010052706,П000010052806),2)</f>
        <v>0</v>
      </c>
      <c r="H108" s="207"/>
      <c r="I108" s="206">
        <f>ROUND(SUM(П000010052107,П000010052507,П000010052607,П000010052707,П000010052807),2)</f>
        <v>0</v>
      </c>
      <c r="J108" s="207"/>
      <c r="K108" s="206">
        <f>ROUND(SUM(П000010052108,П000010052508,П000010052608,П000010052708,П000010052808),2)</f>
        <v>0</v>
      </c>
      <c r="L108" s="207"/>
      <c r="M108" s="206">
        <f>ROUND(SUM(П000010052109,П000010052509,П000010052609,П000010052709,П000010052809),2)</f>
        <v>0</v>
      </c>
      <c r="N108" s="207"/>
      <c r="O108" s="212">
        <f>ROUND(SUM(П000010052110,П000010052510,П000010052610,П000010052710,П000010052810),2)</f>
        <v>0</v>
      </c>
    </row>
    <row r="109" spans="1:15" ht="12.75" customHeight="1">
      <c r="A109" s="111" t="s">
        <v>172</v>
      </c>
      <c r="B109" s="201"/>
      <c r="C109" s="203"/>
      <c r="D109" s="211"/>
      <c r="E109" s="208"/>
      <c r="F109" s="209"/>
      <c r="G109" s="208"/>
      <c r="H109" s="209"/>
      <c r="I109" s="208"/>
      <c r="J109" s="209"/>
      <c r="K109" s="208"/>
      <c r="L109" s="209"/>
      <c r="M109" s="208"/>
      <c r="N109" s="209"/>
      <c r="O109" s="213"/>
    </row>
    <row r="110" spans="1:15" ht="10.5" customHeight="1">
      <c r="A110" s="104" t="s">
        <v>22</v>
      </c>
      <c r="B110" s="200">
        <v>521</v>
      </c>
      <c r="C110" s="202">
        <v>171</v>
      </c>
      <c r="D110" s="193">
        <v>0</v>
      </c>
      <c r="E110" s="184">
        <v>0</v>
      </c>
      <c r="F110" s="185"/>
      <c r="G110" s="184">
        <v>0</v>
      </c>
      <c r="H110" s="185"/>
      <c r="I110" s="184">
        <v>0</v>
      </c>
      <c r="J110" s="185"/>
      <c r="K110" s="184">
        <v>0</v>
      </c>
      <c r="L110" s="185"/>
      <c r="M110" s="176">
        <f>ROUND(SUM(П000010052105,П000010052106,П000010052107,П000010052108),2)</f>
        <v>0</v>
      </c>
      <c r="N110" s="177"/>
      <c r="O110" s="168">
        <f>ROUND(IF(D110-M110&gt;0,IF(D110=0,0,D110-M110),0),2)</f>
        <v>0</v>
      </c>
    </row>
    <row r="111" spans="1:15" ht="13.5" customHeight="1">
      <c r="A111" s="107" t="s">
        <v>200</v>
      </c>
      <c r="B111" s="201"/>
      <c r="C111" s="203"/>
      <c r="D111" s="194"/>
      <c r="E111" s="186"/>
      <c r="F111" s="187"/>
      <c r="G111" s="186"/>
      <c r="H111" s="187"/>
      <c r="I111" s="186"/>
      <c r="J111" s="187"/>
      <c r="K111" s="186"/>
      <c r="L111" s="187"/>
      <c r="M111" s="178"/>
      <c r="N111" s="179"/>
      <c r="O111" s="169"/>
    </row>
    <row r="112" spans="1:15" ht="13.5" customHeight="1" hidden="1">
      <c r="A112" s="107" t="s">
        <v>157</v>
      </c>
      <c r="B112" s="41">
        <v>522</v>
      </c>
      <c r="C112" s="19">
        <v>171</v>
      </c>
      <c r="D112" s="53">
        <v>0</v>
      </c>
      <c r="E112" s="147">
        <v>0</v>
      </c>
      <c r="F112" s="147"/>
      <c r="G112" s="147">
        <v>0</v>
      </c>
      <c r="H112" s="147"/>
      <c r="I112" s="147">
        <v>0</v>
      </c>
      <c r="J112" s="147"/>
      <c r="K112" s="147">
        <v>0</v>
      </c>
      <c r="L112" s="147"/>
      <c r="M112" s="154">
        <f>ROUND(SUM(П000010052205,П000010052206,П000010052207,П000010052208),2)</f>
        <v>0</v>
      </c>
      <c r="N112" s="154"/>
      <c r="O112" s="54">
        <f>ROUND(П000010052204-П000010052209,2)</f>
        <v>0</v>
      </c>
    </row>
    <row r="113" spans="1:15" ht="20.25" customHeight="1" hidden="1">
      <c r="A113" s="107" t="s">
        <v>158</v>
      </c>
      <c r="B113" s="41">
        <v>523</v>
      </c>
      <c r="C113" s="19">
        <v>510</v>
      </c>
      <c r="D113" s="53">
        <v>0</v>
      </c>
      <c r="E113" s="184">
        <v>0</v>
      </c>
      <c r="F113" s="185"/>
      <c r="G113" s="184">
        <v>0</v>
      </c>
      <c r="H113" s="185"/>
      <c r="I113" s="184">
        <v>0</v>
      </c>
      <c r="J113" s="185"/>
      <c r="K113" s="184">
        <v>0</v>
      </c>
      <c r="L113" s="185"/>
      <c r="M113" s="176">
        <f>ROUND(SUM(П000010052305,П000010052306,П000010052307,П000010052308),2)</f>
        <v>0</v>
      </c>
      <c r="N113" s="177"/>
      <c r="O113" s="55">
        <f>ROUND(П000010052304-П000010052309,2)</f>
        <v>0</v>
      </c>
    </row>
    <row r="114" spans="1:15" ht="23.25" customHeight="1" hidden="1">
      <c r="A114" s="107" t="s">
        <v>159</v>
      </c>
      <c r="B114" s="41">
        <v>524</v>
      </c>
      <c r="C114" s="19">
        <v>610</v>
      </c>
      <c r="D114" s="56">
        <v>0</v>
      </c>
      <c r="E114" s="184">
        <v>0</v>
      </c>
      <c r="F114" s="185"/>
      <c r="G114" s="184">
        <v>0</v>
      </c>
      <c r="H114" s="185"/>
      <c r="I114" s="184">
        <v>0</v>
      </c>
      <c r="J114" s="185"/>
      <c r="K114" s="184">
        <v>0</v>
      </c>
      <c r="L114" s="185"/>
      <c r="M114" s="176">
        <f>ROUND(SUM(П000010052405,П000010052406,П000010052407,П000010052408),2)</f>
        <v>0</v>
      </c>
      <c r="N114" s="177"/>
      <c r="O114" s="55">
        <f>ROUND(П000010052404-П000010052409,2)</f>
        <v>0</v>
      </c>
    </row>
    <row r="115" spans="1:15" ht="13.5" customHeight="1">
      <c r="A115" s="107" t="s">
        <v>164</v>
      </c>
      <c r="B115" s="41">
        <v>525</v>
      </c>
      <c r="C115" s="19">
        <v>640</v>
      </c>
      <c r="D115" s="53">
        <v>0</v>
      </c>
      <c r="E115" s="147">
        <v>0</v>
      </c>
      <c r="F115" s="147"/>
      <c r="G115" s="147">
        <v>0</v>
      </c>
      <c r="H115" s="147"/>
      <c r="I115" s="147">
        <v>0</v>
      </c>
      <c r="J115" s="147"/>
      <c r="K115" s="147">
        <v>0</v>
      </c>
      <c r="L115" s="147"/>
      <c r="M115" s="154">
        <f>ROUND(SUM(П000010052505,П000010052506,П000010052507,П000010052508),2)</f>
        <v>0</v>
      </c>
      <c r="N115" s="154"/>
      <c r="O115" s="54">
        <f>ROUND(IF(D115-M115&gt;0,IF(D115=0,0,D115-M115),0),2)</f>
        <v>0</v>
      </c>
    </row>
    <row r="116" spans="1:15" ht="12.75" customHeight="1">
      <c r="A116" s="107" t="s">
        <v>160</v>
      </c>
      <c r="B116" s="41">
        <v>526</v>
      </c>
      <c r="C116" s="19">
        <v>540</v>
      </c>
      <c r="D116" s="53">
        <v>0</v>
      </c>
      <c r="E116" s="147">
        <v>0</v>
      </c>
      <c r="F116" s="147"/>
      <c r="G116" s="147">
        <v>0</v>
      </c>
      <c r="H116" s="147"/>
      <c r="I116" s="147">
        <v>0</v>
      </c>
      <c r="J116" s="147"/>
      <c r="K116" s="147">
        <v>0</v>
      </c>
      <c r="L116" s="147"/>
      <c r="M116" s="154">
        <f>ROUND(SUM(П000010052605,П000010052606,П000010052607,П000010052608),2)</f>
        <v>0</v>
      </c>
      <c r="N116" s="154"/>
      <c r="O116" s="54">
        <f>ROUND(IF(D116-M116&gt;0,IF(D116=0,0,D116-M116),0),2)</f>
        <v>0</v>
      </c>
    </row>
    <row r="117" spans="1:15" ht="13.5" customHeight="1">
      <c r="A117" s="107" t="s">
        <v>161</v>
      </c>
      <c r="B117" s="41">
        <v>527</v>
      </c>
      <c r="C117" s="19">
        <v>710</v>
      </c>
      <c r="D117" s="53">
        <v>0</v>
      </c>
      <c r="E117" s="147">
        <v>0</v>
      </c>
      <c r="F117" s="147"/>
      <c r="G117" s="147">
        <v>0</v>
      </c>
      <c r="H117" s="147"/>
      <c r="I117" s="147">
        <v>0</v>
      </c>
      <c r="J117" s="147"/>
      <c r="K117" s="147">
        <v>0</v>
      </c>
      <c r="L117" s="147"/>
      <c r="M117" s="154">
        <f>ROUND(SUM(П000010052705,П000010052706,П000010052707,П000010052708),2)</f>
        <v>0</v>
      </c>
      <c r="N117" s="154"/>
      <c r="O117" s="54">
        <f>ROUND(IF(D117-M117&gt;0,IF(D117=0,0,D117-M117),0),2)</f>
        <v>0</v>
      </c>
    </row>
    <row r="118" spans="1:15" ht="21" customHeight="1">
      <c r="A118" s="107" t="s">
        <v>201</v>
      </c>
      <c r="B118" s="41">
        <v>528</v>
      </c>
      <c r="C118" s="19">
        <v>810</v>
      </c>
      <c r="D118" s="53">
        <v>0</v>
      </c>
      <c r="E118" s="147">
        <v>0</v>
      </c>
      <c r="F118" s="147"/>
      <c r="G118" s="147">
        <v>0</v>
      </c>
      <c r="H118" s="147"/>
      <c r="I118" s="147">
        <v>0</v>
      </c>
      <c r="J118" s="147"/>
      <c r="K118" s="147">
        <v>0</v>
      </c>
      <c r="L118" s="147"/>
      <c r="M118" s="154">
        <f>ROUND(SUM(П000010052805,П000010052806,П000010052807,П000010052808),2)</f>
        <v>0</v>
      </c>
      <c r="N118" s="154"/>
      <c r="O118" s="54">
        <f>ROUND(IF(D118-M118&gt;0,IF(D118=0,0,D118-M118),0),2)</f>
        <v>0</v>
      </c>
    </row>
    <row r="119" spans="1:15" ht="12.75" customHeight="1">
      <c r="A119" s="106" t="s">
        <v>163</v>
      </c>
      <c r="B119" s="41">
        <v>620</v>
      </c>
      <c r="C119" s="19" t="s">
        <v>58</v>
      </c>
      <c r="D119" s="57">
        <f>ROUND(SUM(П000010062104,П000010062504,П000010062604),2)</f>
        <v>0</v>
      </c>
      <c r="E119" s="133">
        <f>ROUND(SUM(П000010062105,П000010062505,П000010062605),2)</f>
        <v>0</v>
      </c>
      <c r="F119" s="133"/>
      <c r="G119" s="133">
        <f>ROUND(SUM(П000010062106,П000010062506,П000010062606),2)</f>
        <v>0</v>
      </c>
      <c r="H119" s="133"/>
      <c r="I119" s="133">
        <f>ROUND(SUM(П000010062107,П000010062507,П000010062607),2)</f>
        <v>0</v>
      </c>
      <c r="J119" s="133"/>
      <c r="K119" s="133">
        <f>ROUND(SUM(П000010062108,П000010062508,П000010062608),2)</f>
        <v>0</v>
      </c>
      <c r="L119" s="133"/>
      <c r="M119" s="133">
        <f>ROUND(SUM(П000010062109,П000010062509,П000010062609),2)</f>
        <v>0</v>
      </c>
      <c r="N119" s="133"/>
      <c r="O119" s="125">
        <f>ROUND(SUM(П000010062110,П000010062510,П000010062610),2)</f>
        <v>0</v>
      </c>
    </row>
    <row r="120" spans="1:15" ht="12.75" customHeight="1">
      <c r="A120" s="104" t="s">
        <v>22</v>
      </c>
      <c r="B120" s="200">
        <v>621</v>
      </c>
      <c r="C120" s="202">
        <v>171</v>
      </c>
      <c r="D120" s="193">
        <v>0</v>
      </c>
      <c r="E120" s="184">
        <v>0</v>
      </c>
      <c r="F120" s="185"/>
      <c r="G120" s="184">
        <v>0</v>
      </c>
      <c r="H120" s="185"/>
      <c r="I120" s="184">
        <v>0</v>
      </c>
      <c r="J120" s="185"/>
      <c r="K120" s="184">
        <v>0</v>
      </c>
      <c r="L120" s="185"/>
      <c r="M120" s="176">
        <f>ROUND(SUM(П000010062105,П000010062106,П000010062107,П000010062108),2)</f>
        <v>0</v>
      </c>
      <c r="N120" s="177"/>
      <c r="O120" s="168">
        <f>ROUND(IF(D120-M120&gt;0,IF(D120=0,0,D120-M120),0),2)</f>
        <v>0</v>
      </c>
    </row>
    <row r="121" spans="1:15" ht="10.5" customHeight="1">
      <c r="A121" s="107" t="s">
        <v>200</v>
      </c>
      <c r="B121" s="201"/>
      <c r="C121" s="203"/>
      <c r="D121" s="194"/>
      <c r="E121" s="186"/>
      <c r="F121" s="187"/>
      <c r="G121" s="186"/>
      <c r="H121" s="187"/>
      <c r="I121" s="186"/>
      <c r="J121" s="187"/>
      <c r="K121" s="186"/>
      <c r="L121" s="187"/>
      <c r="M121" s="178"/>
      <c r="N121" s="179"/>
      <c r="O121" s="169"/>
    </row>
    <row r="122" spans="1:15" ht="12.75" customHeight="1" hidden="1">
      <c r="A122" s="107" t="s">
        <v>157</v>
      </c>
      <c r="B122" s="41">
        <v>622</v>
      </c>
      <c r="C122" s="19">
        <v>171</v>
      </c>
      <c r="D122" s="53">
        <v>0</v>
      </c>
      <c r="E122" s="147">
        <v>0</v>
      </c>
      <c r="F122" s="147"/>
      <c r="G122" s="147">
        <v>0</v>
      </c>
      <c r="H122" s="147"/>
      <c r="I122" s="147">
        <v>0</v>
      </c>
      <c r="J122" s="147"/>
      <c r="K122" s="147">
        <v>0</v>
      </c>
      <c r="L122" s="147"/>
      <c r="M122" s="154">
        <f>ROUND(SUM(П000010062205,П000010062206,П000010062207,П000010062208),2)</f>
        <v>0</v>
      </c>
      <c r="N122" s="154"/>
      <c r="O122" s="54">
        <f>IF(П000010062204=0,0,ROUND(П000010062204-П000010062209,2))</f>
        <v>0</v>
      </c>
    </row>
    <row r="123" spans="1:15" ht="11.25" customHeight="1">
      <c r="A123" s="107" t="s">
        <v>165</v>
      </c>
      <c r="B123" s="41">
        <v>625</v>
      </c>
      <c r="C123" s="19">
        <v>720</v>
      </c>
      <c r="D123" s="53">
        <v>0</v>
      </c>
      <c r="E123" s="147">
        <v>0</v>
      </c>
      <c r="F123" s="147"/>
      <c r="G123" s="184">
        <v>0</v>
      </c>
      <c r="H123" s="185"/>
      <c r="I123" s="184">
        <v>0</v>
      </c>
      <c r="J123" s="185"/>
      <c r="K123" s="184">
        <v>0</v>
      </c>
      <c r="L123" s="185"/>
      <c r="M123" s="176">
        <f>ROUND(SUM(П000010062505,П000010062506,П000010062507,П000010062508),2)</f>
        <v>0</v>
      </c>
      <c r="N123" s="177"/>
      <c r="O123" s="54">
        <f>ROUND(IF(D123-M123&gt;0,IF(D123=0,0,D123-M123),0),2)</f>
        <v>0</v>
      </c>
    </row>
    <row r="124" spans="1:15" ht="24" customHeight="1">
      <c r="A124" s="107" t="s">
        <v>162</v>
      </c>
      <c r="B124" s="41">
        <v>626</v>
      </c>
      <c r="C124" s="25">
        <v>820</v>
      </c>
      <c r="D124" s="56">
        <v>0</v>
      </c>
      <c r="E124" s="186">
        <v>0</v>
      </c>
      <c r="F124" s="187"/>
      <c r="G124" s="184">
        <v>0</v>
      </c>
      <c r="H124" s="185"/>
      <c r="I124" s="184">
        <v>0</v>
      </c>
      <c r="J124" s="185"/>
      <c r="K124" s="184">
        <v>0</v>
      </c>
      <c r="L124" s="185"/>
      <c r="M124" s="176">
        <f>ROUND(SUM(П000010062605,П000010062606,П000010062607,П000010062608),2)</f>
        <v>0</v>
      </c>
      <c r="N124" s="177"/>
      <c r="O124" s="54">
        <f>ROUND(IF(D124-M124&gt;0,IF(D124=0,0,D124-M124),0),2)</f>
        <v>0</v>
      </c>
    </row>
    <row r="125" spans="1:15" ht="12.75" customHeight="1">
      <c r="A125" s="106" t="s">
        <v>166</v>
      </c>
      <c r="B125" s="41">
        <v>700</v>
      </c>
      <c r="C125" s="19" t="s">
        <v>191</v>
      </c>
      <c r="D125" s="63">
        <v>30369.840000003576</v>
      </c>
      <c r="E125" s="133">
        <f>ROUND(П000010071005+П000010072005,2)</f>
        <v>-8700757.3</v>
      </c>
      <c r="F125" s="133"/>
      <c r="G125" s="133">
        <f>ROUND(П000010071006+П000010072006,2)</f>
        <v>0</v>
      </c>
      <c r="H125" s="133"/>
      <c r="I125" s="133">
        <f>ROUND(П000010071007+П000010072007,2)</f>
        <v>0</v>
      </c>
      <c r="J125" s="133"/>
      <c r="K125" s="133">
        <f>ROUND(П000010071008+П000010072008,2)</f>
        <v>0</v>
      </c>
      <c r="L125" s="133"/>
      <c r="M125" s="154">
        <f>ROUND(SUM(П000010070005,П000010070006,П000010070007,П000010070008),2)</f>
        <v>-8700757.3</v>
      </c>
      <c r="N125" s="154"/>
      <c r="O125" s="54">
        <f>ROUND(IF(D125-M125&gt;0,IF(D125=0,0,D125-M125),0),2)</f>
        <v>8731127.14</v>
      </c>
    </row>
    <row r="126" spans="1:15" ht="12.75" customHeight="1">
      <c r="A126" s="107" t="s">
        <v>167</v>
      </c>
      <c r="B126" s="41">
        <v>710</v>
      </c>
      <c r="C126" s="19">
        <v>510</v>
      </c>
      <c r="D126" s="53">
        <v>0</v>
      </c>
      <c r="E126" s="147">
        <v>-31001961.86</v>
      </c>
      <c r="F126" s="147"/>
      <c r="G126" s="147">
        <v>0</v>
      </c>
      <c r="H126" s="147"/>
      <c r="I126" s="147">
        <v>0</v>
      </c>
      <c r="J126" s="147"/>
      <c r="K126" s="147">
        <v>0</v>
      </c>
      <c r="L126" s="147"/>
      <c r="M126" s="154">
        <f>ROUND(SUM(П000010071005,П000010071006,П000010071007,П000010071008),2)</f>
        <v>-31001961.86</v>
      </c>
      <c r="N126" s="154"/>
      <c r="O126" s="65" t="s">
        <v>191</v>
      </c>
    </row>
    <row r="127" spans="1:15" ht="12.75" customHeight="1">
      <c r="A127" s="107" t="s">
        <v>168</v>
      </c>
      <c r="B127" s="41">
        <v>720</v>
      </c>
      <c r="C127" s="19">
        <v>610</v>
      </c>
      <c r="D127" s="53">
        <v>0</v>
      </c>
      <c r="E127" s="147">
        <v>22301204.560000002</v>
      </c>
      <c r="F127" s="147"/>
      <c r="G127" s="147">
        <v>0</v>
      </c>
      <c r="H127" s="147"/>
      <c r="I127" s="147">
        <v>0</v>
      </c>
      <c r="J127" s="147"/>
      <c r="K127" s="147">
        <v>0</v>
      </c>
      <c r="L127" s="147"/>
      <c r="M127" s="154">
        <f>ROUND(SUM(П000010072005,П000010072006,П000010072007,П000010072008),2)</f>
        <v>22301204.56</v>
      </c>
      <c r="N127" s="154"/>
      <c r="O127" s="65" t="s">
        <v>191</v>
      </c>
    </row>
    <row r="128" spans="1:15" ht="24.75" customHeight="1">
      <c r="A128" s="106" t="s">
        <v>169</v>
      </c>
      <c r="B128" s="40">
        <v>730</v>
      </c>
      <c r="C128" s="25" t="s">
        <v>58</v>
      </c>
      <c r="D128" s="61">
        <f>ROUND(П000010073104+П000010073204,2)</f>
        <v>0</v>
      </c>
      <c r="E128" s="211">
        <f>ROUND(П000010073105+П000010073205,2)</f>
        <v>0</v>
      </c>
      <c r="F128" s="211"/>
      <c r="G128" s="211">
        <f>ROUND(П000010073106+П000010073206,2)</f>
        <v>0</v>
      </c>
      <c r="H128" s="211"/>
      <c r="I128" s="211">
        <f>ROUND(П000010073107+П000010073207,2)</f>
        <v>0</v>
      </c>
      <c r="J128" s="211"/>
      <c r="K128" s="211">
        <f>ROUND(П000010073108+П000010073208,2)</f>
        <v>0</v>
      </c>
      <c r="L128" s="211"/>
      <c r="M128" s="183">
        <f>ROUND(SUM(П000010073005,П000010073006,П000010073007,П000010073008),2)</f>
        <v>0</v>
      </c>
      <c r="N128" s="183"/>
      <c r="O128" s="54">
        <f>ROUND(IF(D128-M128&gt;0,IF(D128=0,0,D128-M128),0),2)</f>
        <v>0</v>
      </c>
    </row>
    <row r="129" spans="1:15" ht="12.75" customHeight="1">
      <c r="A129" s="104" t="s">
        <v>25</v>
      </c>
      <c r="B129" s="200">
        <v>731</v>
      </c>
      <c r="C129" s="202">
        <v>510</v>
      </c>
      <c r="D129" s="193">
        <v>0</v>
      </c>
      <c r="E129" s="184">
        <v>0</v>
      </c>
      <c r="F129" s="185"/>
      <c r="G129" s="184">
        <v>0</v>
      </c>
      <c r="H129" s="185"/>
      <c r="I129" s="184">
        <v>0</v>
      </c>
      <c r="J129" s="185"/>
      <c r="K129" s="184">
        <v>0</v>
      </c>
      <c r="L129" s="185"/>
      <c r="M129" s="176">
        <f>ROUND(SUM(П000010073105,П000010073106,П000010073107,П000010073108),2)</f>
        <v>0</v>
      </c>
      <c r="N129" s="177"/>
      <c r="O129" s="214" t="s">
        <v>191</v>
      </c>
    </row>
    <row r="130" spans="1:15" ht="9" customHeight="1">
      <c r="A130" s="107" t="s">
        <v>170</v>
      </c>
      <c r="B130" s="201"/>
      <c r="C130" s="203"/>
      <c r="D130" s="194"/>
      <c r="E130" s="186"/>
      <c r="F130" s="187"/>
      <c r="G130" s="186"/>
      <c r="H130" s="187"/>
      <c r="I130" s="186"/>
      <c r="J130" s="187"/>
      <c r="K130" s="186"/>
      <c r="L130" s="187"/>
      <c r="M130" s="178"/>
      <c r="N130" s="179"/>
      <c r="O130" s="215"/>
    </row>
    <row r="131" spans="1:15" ht="13.5" customHeight="1" thickBot="1">
      <c r="A131" s="107" t="s">
        <v>171</v>
      </c>
      <c r="B131" s="42">
        <v>732</v>
      </c>
      <c r="C131" s="49">
        <v>610</v>
      </c>
      <c r="D131" s="58">
        <v>0</v>
      </c>
      <c r="E131" s="195">
        <v>0</v>
      </c>
      <c r="F131" s="195"/>
      <c r="G131" s="195">
        <v>0</v>
      </c>
      <c r="H131" s="195"/>
      <c r="I131" s="195">
        <v>0</v>
      </c>
      <c r="J131" s="195"/>
      <c r="K131" s="195">
        <v>0</v>
      </c>
      <c r="L131" s="195"/>
      <c r="M131" s="196">
        <f>ROUND(SUM(П000010073205,П000010073206,П000010073207,П000010073208),2)</f>
        <v>0</v>
      </c>
      <c r="N131" s="196"/>
      <c r="O131" s="70" t="s">
        <v>191</v>
      </c>
    </row>
    <row r="132" spans="1:15" ht="12.75">
      <c r="A132" s="109"/>
      <c r="O132" s="23" t="s">
        <v>198</v>
      </c>
    </row>
    <row r="133" spans="1:15" ht="15" customHeight="1">
      <c r="A133" s="143" t="s">
        <v>10</v>
      </c>
      <c r="B133" s="149" t="s">
        <v>11</v>
      </c>
      <c r="C133" s="149" t="s">
        <v>18</v>
      </c>
      <c r="D133" s="149" t="s">
        <v>188</v>
      </c>
      <c r="E133" s="149" t="s">
        <v>12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 t="s">
        <v>17</v>
      </c>
    </row>
    <row r="134" spans="1:15" ht="33.75" customHeight="1">
      <c r="A134" s="144"/>
      <c r="B134" s="149"/>
      <c r="C134" s="149"/>
      <c r="D134" s="149"/>
      <c r="E134" s="157" t="s">
        <v>189</v>
      </c>
      <c r="F134" s="167"/>
      <c r="G134" s="157" t="s">
        <v>13</v>
      </c>
      <c r="H134" s="167"/>
      <c r="I134" s="157" t="s">
        <v>14</v>
      </c>
      <c r="J134" s="167"/>
      <c r="K134" s="157" t="s">
        <v>15</v>
      </c>
      <c r="L134" s="167"/>
      <c r="M134" s="149" t="s">
        <v>16</v>
      </c>
      <c r="N134" s="149"/>
      <c r="O134" s="149"/>
    </row>
    <row r="135" spans="1:15" ht="13.5" thickBot="1">
      <c r="A135" s="97">
        <v>1</v>
      </c>
      <c r="B135" s="29">
        <v>2</v>
      </c>
      <c r="C135" s="29">
        <v>3</v>
      </c>
      <c r="D135" s="29">
        <v>4</v>
      </c>
      <c r="E135" s="166">
        <v>5</v>
      </c>
      <c r="F135" s="166"/>
      <c r="G135" s="166">
        <v>6</v>
      </c>
      <c r="H135" s="166"/>
      <c r="I135" s="166">
        <v>7</v>
      </c>
      <c r="J135" s="166"/>
      <c r="K135" s="166">
        <v>8</v>
      </c>
      <c r="L135" s="166"/>
      <c r="M135" s="166">
        <v>9</v>
      </c>
      <c r="N135" s="166"/>
      <c r="O135" s="29">
        <v>10</v>
      </c>
    </row>
    <row r="136" spans="1:15" ht="24" customHeight="1">
      <c r="A136" s="106" t="s">
        <v>173</v>
      </c>
      <c r="B136" s="39">
        <v>820</v>
      </c>
      <c r="C136" s="38" t="s">
        <v>58</v>
      </c>
      <c r="D136" s="60">
        <f>ROUND(П000010082104+П000010082204,2)</f>
        <v>0</v>
      </c>
      <c r="E136" s="204">
        <f>ROUND(П000010082105+П000010082205,2)</f>
        <v>0</v>
      </c>
      <c r="F136" s="204"/>
      <c r="G136" s="204">
        <f>ROUND(П000010082106+П000010082206,2)</f>
        <v>0</v>
      </c>
      <c r="H136" s="204"/>
      <c r="I136" s="204">
        <f>ROUND(П000010082107+П000010082207,2)</f>
        <v>0</v>
      </c>
      <c r="J136" s="204"/>
      <c r="K136" s="204">
        <f>ROUND(П000010082108+П000010082208,2)</f>
        <v>0</v>
      </c>
      <c r="L136" s="204"/>
      <c r="M136" s="152">
        <f>ROUND(SUM(П000010082005,П000010082006,П000010082007,П000010082008),2)</f>
        <v>0</v>
      </c>
      <c r="N136" s="152"/>
      <c r="O136" s="52">
        <f>ROUND(IF(D136-M136&gt;0,IF(D136=0,0,D136-M136),0),2)</f>
        <v>0</v>
      </c>
    </row>
    <row r="137" spans="1:15" ht="12.75" customHeight="1">
      <c r="A137" s="104" t="s">
        <v>25</v>
      </c>
      <c r="B137" s="200">
        <v>821</v>
      </c>
      <c r="C137" s="202"/>
      <c r="D137" s="193">
        <v>0</v>
      </c>
      <c r="E137" s="184">
        <v>0</v>
      </c>
      <c r="F137" s="185"/>
      <c r="G137" s="184">
        <v>0</v>
      </c>
      <c r="H137" s="185"/>
      <c r="I137" s="184">
        <v>0</v>
      </c>
      <c r="J137" s="185"/>
      <c r="K137" s="184">
        <v>0</v>
      </c>
      <c r="L137" s="185"/>
      <c r="M137" s="176">
        <f>ROUND(П000010082105+П000010082106,2)</f>
        <v>0</v>
      </c>
      <c r="N137" s="177"/>
      <c r="O137" s="168">
        <f>ROUND(IF(D137-M137&gt;0,IF(D137=0,0,D137-M137),0),2)</f>
        <v>0</v>
      </c>
    </row>
    <row r="138" spans="1:15" ht="21.75" customHeight="1">
      <c r="A138" s="107" t="s">
        <v>199</v>
      </c>
      <c r="B138" s="201"/>
      <c r="C138" s="203"/>
      <c r="D138" s="194"/>
      <c r="E138" s="186"/>
      <c r="F138" s="187"/>
      <c r="G138" s="186"/>
      <c r="H138" s="187"/>
      <c r="I138" s="186"/>
      <c r="J138" s="187"/>
      <c r="K138" s="186"/>
      <c r="L138" s="187"/>
      <c r="M138" s="178"/>
      <c r="N138" s="179"/>
      <c r="O138" s="169"/>
    </row>
    <row r="139" spans="1:15" ht="23.25" customHeight="1">
      <c r="A139" s="107" t="s">
        <v>177</v>
      </c>
      <c r="B139" s="41">
        <v>822</v>
      </c>
      <c r="C139" s="19"/>
      <c r="D139" s="53">
        <v>0</v>
      </c>
      <c r="E139" s="147">
        <v>0</v>
      </c>
      <c r="F139" s="147"/>
      <c r="G139" s="147">
        <v>0</v>
      </c>
      <c r="H139" s="147"/>
      <c r="I139" s="147">
        <v>0</v>
      </c>
      <c r="J139" s="147"/>
      <c r="K139" s="147">
        <v>0</v>
      </c>
      <c r="L139" s="147"/>
      <c r="M139" s="154">
        <f>ROUND(П000010082205+П000010082206,2)</f>
        <v>0</v>
      </c>
      <c r="N139" s="154"/>
      <c r="O139" s="54">
        <f>ROUND(IF(D139-M139&gt;0,IF(D139=0,0,D139-M139),0),2)</f>
        <v>0</v>
      </c>
    </row>
    <row r="140" spans="1:15" ht="22.5" customHeight="1">
      <c r="A140" s="106" t="s">
        <v>174</v>
      </c>
      <c r="B140" s="41">
        <v>830</v>
      </c>
      <c r="C140" s="19" t="s">
        <v>58</v>
      </c>
      <c r="D140" s="57">
        <f>ROUND(П000010083104+П000010083204,2)</f>
        <v>0</v>
      </c>
      <c r="E140" s="133">
        <f>ROUND(П000010083105+П000010083205,2)</f>
        <v>0</v>
      </c>
      <c r="F140" s="133"/>
      <c r="G140" s="133">
        <f>ROUND(П000010083106+П000010083206,2)</f>
        <v>0</v>
      </c>
      <c r="H140" s="133"/>
      <c r="I140" s="133">
        <f>ROUND(П000010083107+П000010083207,2)</f>
        <v>0</v>
      </c>
      <c r="J140" s="133"/>
      <c r="K140" s="133">
        <f>ROUND(П000010083108+П000010083208,2)</f>
        <v>0</v>
      </c>
      <c r="L140" s="133"/>
      <c r="M140" s="154">
        <f>ROUND(SUM(П000010083005,П000010083006,П000010083007,П000010083008),2)</f>
        <v>0</v>
      </c>
      <c r="N140" s="154"/>
      <c r="O140" s="54">
        <f>ROUND(IF(D140-M140&gt;0,IF(D140=0,0,D140-M140),0),2)</f>
        <v>0</v>
      </c>
    </row>
    <row r="141" spans="1:15" ht="12.75" customHeight="1">
      <c r="A141" s="104" t="s">
        <v>25</v>
      </c>
      <c r="B141" s="200">
        <v>831</v>
      </c>
      <c r="C141" s="202"/>
      <c r="D141" s="193">
        <v>0</v>
      </c>
      <c r="E141" s="184">
        <v>0</v>
      </c>
      <c r="F141" s="185"/>
      <c r="G141" s="184">
        <v>0</v>
      </c>
      <c r="H141" s="185"/>
      <c r="I141" s="184">
        <v>0</v>
      </c>
      <c r="J141" s="185"/>
      <c r="K141" s="184">
        <v>0</v>
      </c>
      <c r="L141" s="185"/>
      <c r="M141" s="176">
        <f>ROUND(SUM(П000010083105,П000010083106,П000010083107,П000010083108),2)</f>
        <v>0</v>
      </c>
      <c r="N141" s="177"/>
      <c r="O141" s="168">
        <f>ROUND(IF(D141-M141&gt;0,IF(D141=0,0,D141-M141),0),2)</f>
        <v>0</v>
      </c>
    </row>
    <row r="142" spans="1:15" ht="23.25" customHeight="1">
      <c r="A142" s="107" t="s">
        <v>175</v>
      </c>
      <c r="B142" s="201"/>
      <c r="C142" s="203"/>
      <c r="D142" s="194"/>
      <c r="E142" s="186"/>
      <c r="F142" s="187"/>
      <c r="G142" s="186"/>
      <c r="H142" s="187"/>
      <c r="I142" s="186"/>
      <c r="J142" s="187"/>
      <c r="K142" s="186"/>
      <c r="L142" s="187"/>
      <c r="M142" s="178"/>
      <c r="N142" s="179"/>
      <c r="O142" s="169"/>
    </row>
    <row r="143" spans="1:15" ht="35.25" customHeight="1" thickBot="1">
      <c r="A143" s="120" t="s">
        <v>176</v>
      </c>
      <c r="B143" s="42">
        <v>832</v>
      </c>
      <c r="C143" s="35"/>
      <c r="D143" s="58">
        <v>0</v>
      </c>
      <c r="E143" s="195">
        <v>0</v>
      </c>
      <c r="F143" s="195"/>
      <c r="G143" s="195">
        <v>0</v>
      </c>
      <c r="H143" s="195"/>
      <c r="I143" s="195">
        <v>0</v>
      </c>
      <c r="J143" s="195"/>
      <c r="K143" s="195">
        <v>0</v>
      </c>
      <c r="L143" s="195"/>
      <c r="M143" s="196">
        <f>ROUND(SUM(П000010083205,П000010083206,П000010083207,П000010083208),2)</f>
        <v>0</v>
      </c>
      <c r="N143" s="196"/>
      <c r="O143" s="59">
        <f>ROUND(IF(D143-M143&gt;0,IF(D143=0,0,D143-M143),0),2)</f>
        <v>0</v>
      </c>
    </row>
    <row r="144" spans="1:15" ht="12.75">
      <c r="A144" s="117"/>
      <c r="B144" s="150" t="s">
        <v>210</v>
      </c>
      <c r="C144" s="150"/>
      <c r="D144" s="150"/>
      <c r="E144" s="150"/>
      <c r="F144" s="150"/>
      <c r="G144" s="150"/>
      <c r="H144" s="150"/>
      <c r="I144" s="150"/>
      <c r="J144" s="150"/>
      <c r="K144" s="151"/>
      <c r="L144" s="151"/>
      <c r="M144" s="118"/>
      <c r="N144" s="119"/>
      <c r="O144" s="13" t="s">
        <v>209</v>
      </c>
    </row>
    <row r="145" spans="1:15" ht="12.75">
      <c r="A145" s="109"/>
      <c r="O145" s="23"/>
    </row>
    <row r="146" spans="1:15" ht="15" customHeight="1">
      <c r="A146" s="143" t="s">
        <v>10</v>
      </c>
      <c r="B146" s="149" t="s">
        <v>11</v>
      </c>
      <c r="C146" s="149" t="s">
        <v>18</v>
      </c>
      <c r="D146" s="162" t="s">
        <v>212</v>
      </c>
      <c r="E146" s="163"/>
      <c r="F146" s="163"/>
      <c r="G146" s="163"/>
      <c r="H146" s="163"/>
      <c r="I146" s="163"/>
      <c r="J146" s="163"/>
      <c r="K146" s="163"/>
      <c r="L146" s="164"/>
      <c r="M146" s="84"/>
      <c r="N146" s="84"/>
      <c r="O146" s="156"/>
    </row>
    <row r="147" spans="1:15" ht="33.75" customHeight="1">
      <c r="A147" s="144"/>
      <c r="B147" s="149"/>
      <c r="C147" s="149"/>
      <c r="D147" s="86" t="s">
        <v>189</v>
      </c>
      <c r="E147" s="157" t="s">
        <v>13</v>
      </c>
      <c r="F147" s="158"/>
      <c r="G147" s="149" t="s">
        <v>14</v>
      </c>
      <c r="H147" s="159"/>
      <c r="I147" s="157" t="s">
        <v>15</v>
      </c>
      <c r="J147" s="158"/>
      <c r="K147" s="160" t="s">
        <v>213</v>
      </c>
      <c r="L147" s="161"/>
      <c r="M147" s="156"/>
      <c r="N147" s="146"/>
      <c r="O147" s="156"/>
    </row>
    <row r="148" spans="1:15" ht="12.75">
      <c r="A148" s="97">
        <v>1</v>
      </c>
      <c r="B148" s="29">
        <v>2</v>
      </c>
      <c r="C148" s="29">
        <v>3</v>
      </c>
      <c r="D148" s="29">
        <v>4</v>
      </c>
      <c r="E148" s="155">
        <v>5</v>
      </c>
      <c r="F148" s="143"/>
      <c r="G148" s="155">
        <v>6</v>
      </c>
      <c r="H148" s="143"/>
      <c r="I148" s="155">
        <v>7</v>
      </c>
      <c r="J148" s="143"/>
      <c r="K148" s="155">
        <v>8</v>
      </c>
      <c r="L148" s="143"/>
      <c r="M148" s="153"/>
      <c r="N148" s="146"/>
      <c r="O148" s="76"/>
    </row>
    <row r="149" spans="1:15" ht="25.5" customHeight="1">
      <c r="A149" s="98" t="s">
        <v>211</v>
      </c>
      <c r="B149" s="19">
        <v>900</v>
      </c>
      <c r="C149" s="19" t="s">
        <v>58</v>
      </c>
      <c r="D149" s="95">
        <f ca="1">ROUND(SUM(INDIRECT(CONCATENATE("d",TEXT(ROW(fin900)-1,0),":d",TEXT(ROW()+1,0)),TRUE)),2)</f>
        <v>0</v>
      </c>
      <c r="E149" s="154">
        <f ca="1">ROUND(SUM(INDIRECT(CONCATENATE("e",TEXT(ROW(fin900)-1,0),":e",TEXT(ROW()+1,0)),TRUE)),2)</f>
        <v>0</v>
      </c>
      <c r="F149" s="154"/>
      <c r="G149" s="154">
        <f ca="1">ROUND(SUM(INDIRECT(CONCATENATE("g",TEXT(ROW(fin900)-1,0),":g",TEXT(ROW()+1,0)),TRUE)),2)</f>
        <v>0</v>
      </c>
      <c r="H149" s="154"/>
      <c r="I149" s="154">
        <f ca="1">ROUND(SUM(INDIRECT(CONCATENATE("i",TEXT(ROW(fin900)-1,0),":i",TEXT(ROW()+1,0)),TRUE)),2)</f>
        <v>0</v>
      </c>
      <c r="J149" s="154"/>
      <c r="K149" s="154">
        <f ca="1">ROUND(SUM(INDIRECT(CONCATENATE("k",TEXT(ROW(fin900)-1,0),":k",TEXT(ROW()+1,0)),TRUE)),2)</f>
        <v>0</v>
      </c>
      <c r="L149" s="154"/>
      <c r="M149" s="145"/>
      <c r="N149" s="146"/>
      <c r="O149" s="83"/>
    </row>
    <row r="150" spans="1:15" ht="12.75" customHeight="1">
      <c r="A150" s="100" t="s">
        <v>25</v>
      </c>
      <c r="B150" s="19"/>
      <c r="C150" s="19"/>
      <c r="D150" s="101"/>
      <c r="E150" s="131"/>
      <c r="F150" s="132"/>
      <c r="G150" s="131"/>
      <c r="H150" s="132"/>
      <c r="I150" s="131"/>
      <c r="J150" s="132"/>
      <c r="K150" s="131"/>
      <c r="L150" s="132"/>
      <c r="M150" s="83"/>
      <c r="N150" s="83"/>
      <c r="O150" s="83"/>
    </row>
    <row r="151" spans="1:15" ht="13.5" customHeight="1" hidden="1">
      <c r="A151" s="80"/>
      <c r="B151" s="20"/>
      <c r="C151" s="20"/>
      <c r="D151" s="81"/>
      <c r="E151" s="81"/>
      <c r="F151" s="81"/>
      <c r="G151" s="81"/>
      <c r="H151" s="81"/>
      <c r="I151" s="81"/>
      <c r="J151" s="81"/>
      <c r="K151" s="81"/>
      <c r="L151" s="81"/>
      <c r="M151" s="83"/>
      <c r="N151" s="85"/>
      <c r="O151" s="82"/>
    </row>
    <row r="152" spans="1:15" ht="21" customHeight="1">
      <c r="A152" s="20"/>
      <c r="B152" s="21"/>
      <c r="C152" s="21"/>
      <c r="D152" s="21"/>
      <c r="E152" s="134"/>
      <c r="F152" s="134"/>
      <c r="G152" s="134"/>
      <c r="H152" s="134"/>
      <c r="I152" s="134"/>
      <c r="J152" s="134"/>
      <c r="K152" s="134"/>
      <c r="L152" s="134"/>
      <c r="M152" s="121"/>
      <c r="N152" s="121"/>
      <c r="O152" s="122"/>
    </row>
    <row r="153" spans="1:15" ht="25.5" customHeight="1">
      <c r="A153" s="21" t="s">
        <v>222</v>
      </c>
      <c r="B153" s="28"/>
      <c r="C153" s="21"/>
      <c r="D153" s="142" t="s">
        <v>231</v>
      </c>
      <c r="E153" s="142"/>
      <c r="F153" s="142"/>
      <c r="G153" s="21" t="s">
        <v>217</v>
      </c>
      <c r="H153" s="20"/>
      <c r="I153" s="22"/>
      <c r="J153" s="74"/>
      <c r="K153" s="74"/>
      <c r="L153" s="22"/>
      <c r="M153" s="142" t="s">
        <v>233</v>
      </c>
      <c r="N153" s="142"/>
      <c r="O153" s="142"/>
    </row>
    <row r="154" spans="1:15" ht="12" customHeight="1">
      <c r="A154" s="21" t="s">
        <v>220</v>
      </c>
      <c r="B154" s="20"/>
      <c r="C154" s="21"/>
      <c r="D154" s="148" t="s">
        <v>179</v>
      </c>
      <c r="E154" s="148"/>
      <c r="F154" s="148"/>
      <c r="G154" s="21" t="s">
        <v>214</v>
      </c>
      <c r="H154" s="20"/>
      <c r="I154" s="21"/>
      <c r="J154" s="148" t="s">
        <v>178</v>
      </c>
      <c r="K154" s="148"/>
      <c r="L154" s="21"/>
      <c r="M154" s="148" t="s">
        <v>179</v>
      </c>
      <c r="N154" s="148"/>
      <c r="O154" s="148"/>
    </row>
    <row r="155" spans="1:15" ht="31.5" customHeight="1">
      <c r="A155" s="21" t="s">
        <v>219</v>
      </c>
      <c r="B155" s="28"/>
      <c r="C155" s="21"/>
      <c r="D155" s="142" t="s">
        <v>232</v>
      </c>
      <c r="E155" s="142"/>
      <c r="F155" s="142"/>
      <c r="G155" s="20"/>
      <c r="H155" s="20"/>
      <c r="I155" s="21"/>
      <c r="J155" s="21"/>
      <c r="K155" s="21"/>
      <c r="L155" s="21"/>
      <c r="M155" s="21"/>
      <c r="N155" s="23"/>
      <c r="O155" s="21"/>
    </row>
    <row r="156" spans="1:15" ht="12" customHeight="1">
      <c r="A156" s="21" t="s">
        <v>220</v>
      </c>
      <c r="B156" s="20"/>
      <c r="C156" s="21"/>
      <c r="D156" s="148" t="s">
        <v>179</v>
      </c>
      <c r="E156" s="148"/>
      <c r="F156" s="148"/>
      <c r="G156" s="20"/>
      <c r="H156" s="20"/>
      <c r="I156" s="21"/>
      <c r="J156" s="21"/>
      <c r="K156" s="21"/>
      <c r="L156" s="21"/>
      <c r="M156" s="21"/>
      <c r="N156" s="23"/>
      <c r="O156" s="21"/>
    </row>
    <row r="157" spans="1:15" ht="12.75">
      <c r="A157" s="21"/>
      <c r="B157" s="21"/>
      <c r="C157" s="21"/>
      <c r="D157" s="21"/>
      <c r="E157" s="137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</row>
    <row r="158" spans="1:15" ht="12.75">
      <c r="A158" s="43"/>
      <c r="B158" s="44"/>
      <c r="C158" s="44"/>
      <c r="D158" s="75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</row>
    <row r="159" spans="1:15" ht="12.75">
      <c r="A159" s="21"/>
      <c r="B159" s="102" t="s">
        <v>218</v>
      </c>
      <c r="C159" s="21"/>
      <c r="D159" s="75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1:15" ht="12.75">
      <c r="A160" s="75"/>
      <c r="B160" s="116"/>
      <c r="C160" s="75"/>
      <c r="D160" s="21"/>
      <c r="E160" s="140" t="s">
        <v>215</v>
      </c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1:15" ht="12.75">
      <c r="A161" s="75"/>
      <c r="B161" s="21"/>
      <c r="C161" s="21"/>
      <c r="D161" s="75"/>
      <c r="E161" s="75"/>
      <c r="F161" s="75"/>
      <c r="G161" s="75"/>
      <c r="H161" s="75"/>
      <c r="I161" s="21"/>
      <c r="J161" s="45"/>
      <c r="K161" s="218"/>
      <c r="L161" s="218"/>
      <c r="M161" s="218"/>
      <c r="N161" s="23"/>
      <c r="O161" s="21"/>
    </row>
    <row r="162" spans="1:16" ht="12.75">
      <c r="A162" s="75"/>
      <c r="B162" s="87" t="s">
        <v>180</v>
      </c>
      <c r="C162" s="21"/>
      <c r="D162" s="21"/>
      <c r="E162" s="129"/>
      <c r="F162" s="129"/>
      <c r="G162" s="130"/>
      <c r="H162" s="75"/>
      <c r="I162" s="128"/>
      <c r="J162" s="128"/>
      <c r="K162" s="91"/>
      <c r="L162" s="128"/>
      <c r="M162" s="128"/>
      <c r="N162" s="128"/>
      <c r="O162" s="128"/>
      <c r="P162" s="91"/>
    </row>
    <row r="163" spans="1:16" ht="12.75" customHeight="1">
      <c r="A163" s="21"/>
      <c r="B163" s="88" t="s">
        <v>216</v>
      </c>
      <c r="C163" s="21"/>
      <c r="D163" s="21"/>
      <c r="E163" s="140" t="s">
        <v>181</v>
      </c>
      <c r="F163" s="140"/>
      <c r="G163" s="141"/>
      <c r="H163" s="21"/>
      <c r="I163" s="136" t="s">
        <v>178</v>
      </c>
      <c r="J163" s="136"/>
      <c r="K163" s="90"/>
      <c r="L163" s="127" t="s">
        <v>182</v>
      </c>
      <c r="M163" s="127"/>
      <c r="N163" s="127"/>
      <c r="O163" s="127"/>
      <c r="P163" s="90"/>
    </row>
    <row r="164" spans="1:15" ht="21" customHeight="1">
      <c r="A164" s="1" t="s">
        <v>183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94"/>
      <c r="M164" s="123"/>
      <c r="N164" s="123"/>
      <c r="O164" s="123"/>
    </row>
    <row r="165" spans="1:15" ht="12.75" customHeight="1" hidden="1">
      <c r="A165" s="46"/>
      <c r="B165" s="21"/>
      <c r="C165" s="89"/>
      <c r="D165" s="89"/>
      <c r="E165" s="89"/>
      <c r="F165" s="89"/>
      <c r="G165" s="21"/>
      <c r="H165" s="21"/>
      <c r="I165" s="21"/>
      <c r="J165" s="21"/>
      <c r="K165" s="21"/>
      <c r="L165" s="123"/>
      <c r="M165" s="123"/>
      <c r="N165" s="123"/>
      <c r="O165" s="123"/>
    </row>
    <row r="166" spans="1:16" ht="24" customHeight="1">
      <c r="A166" s="126" t="s">
        <v>233</v>
      </c>
      <c r="B166" s="21"/>
      <c r="C166" s="128"/>
      <c r="D166" s="128"/>
      <c r="E166" s="21"/>
      <c r="F166" s="219" t="s">
        <v>233</v>
      </c>
      <c r="G166" s="219"/>
      <c r="H166" s="219"/>
      <c r="I166" s="219"/>
      <c r="J166" s="219"/>
      <c r="K166" s="91"/>
      <c r="L166" s="142" t="s">
        <v>233</v>
      </c>
      <c r="M166" s="142"/>
      <c r="N166" s="142"/>
      <c r="O166" s="142"/>
      <c r="P166" s="93"/>
    </row>
    <row r="167" spans="1:16" ht="12.75">
      <c r="A167" s="22" t="s">
        <v>221</v>
      </c>
      <c r="B167" s="21"/>
      <c r="C167" s="136" t="s">
        <v>178</v>
      </c>
      <c r="D167" s="136"/>
      <c r="E167" s="21"/>
      <c r="F167" s="127" t="s">
        <v>182</v>
      </c>
      <c r="G167" s="127"/>
      <c r="H167" s="127"/>
      <c r="I167" s="127"/>
      <c r="J167" s="127"/>
      <c r="K167" s="92"/>
      <c r="L167" s="136" t="s">
        <v>184</v>
      </c>
      <c r="M167" s="136"/>
      <c r="N167" s="136"/>
      <c r="O167" s="136"/>
      <c r="P167" s="92"/>
    </row>
    <row r="168" spans="1:15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3"/>
      <c r="O168" s="21"/>
    </row>
    <row r="169" spans="1:15" ht="12.75">
      <c r="A169" s="43" t="s">
        <v>228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3"/>
      <c r="O169" s="21"/>
    </row>
    <row r="170" spans="1:15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3"/>
      <c r="O170" s="21"/>
    </row>
    <row r="171" spans="1:15" ht="12.75">
      <c r="A171" s="21" t="s">
        <v>240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3"/>
      <c r="O171" s="21"/>
    </row>
    <row r="172" spans="1:15" ht="12.75">
      <c r="A172" s="21" t="s">
        <v>241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3"/>
      <c r="O172" s="21"/>
    </row>
    <row r="173" spans="1:15" ht="12.75">
      <c r="A173" s="21" t="s">
        <v>242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3"/>
      <c r="O173" s="21"/>
    </row>
    <row r="174" spans="1:15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3"/>
      <c r="O174" s="21"/>
    </row>
    <row r="175" spans="1:15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3"/>
      <c r="O175" s="21"/>
    </row>
    <row r="176" spans="1:15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3"/>
      <c r="O176" s="21"/>
    </row>
    <row r="177" spans="1:15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3"/>
      <c r="O177" s="21"/>
    </row>
    <row r="178" spans="1:15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3"/>
      <c r="O178" s="21"/>
    </row>
    <row r="179" spans="1:15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3"/>
      <c r="O179" s="21"/>
    </row>
    <row r="180" spans="1:15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3"/>
      <c r="O180" s="21"/>
    </row>
    <row r="181" spans="1:15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3"/>
      <c r="O181" s="21"/>
    </row>
    <row r="182" spans="1:15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3"/>
      <c r="O182" s="21"/>
    </row>
    <row r="183" spans="1:15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3"/>
      <c r="O183" s="21"/>
    </row>
    <row r="184" spans="1:15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3"/>
      <c r="O184" s="21"/>
    </row>
    <row r="185" spans="1:15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3"/>
      <c r="O185" s="21"/>
    </row>
    <row r="186" spans="1:15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3"/>
      <c r="O186" s="21"/>
    </row>
    <row r="187" spans="1:15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3"/>
      <c r="O187" s="21"/>
    </row>
    <row r="188" spans="1:15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3"/>
      <c r="O188" s="21"/>
    </row>
    <row r="189" spans="1:15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3"/>
      <c r="O189" s="21"/>
    </row>
    <row r="190" spans="1:15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3"/>
      <c r="O190" s="21"/>
    </row>
    <row r="191" spans="1:15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3"/>
      <c r="O191" s="21"/>
    </row>
    <row r="192" spans="1:15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3"/>
      <c r="O192" s="21"/>
    </row>
    <row r="193" spans="1:15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3"/>
      <c r="O193" s="21"/>
    </row>
  </sheetData>
  <sheetProtection/>
  <mergeCells count="652">
    <mergeCell ref="C166:D166"/>
    <mergeCell ref="C167:D167"/>
    <mergeCell ref="F166:J166"/>
    <mergeCell ref="F167:J167"/>
    <mergeCell ref="K161:M161"/>
    <mergeCell ref="E139:F139"/>
    <mergeCell ref="G139:H139"/>
    <mergeCell ref="K141:L142"/>
    <mergeCell ref="I139:J139"/>
    <mergeCell ref="I140:J140"/>
    <mergeCell ref="B9:L9"/>
    <mergeCell ref="A7:A8"/>
    <mergeCell ref="I163:J163"/>
    <mergeCell ref="I162:J162"/>
    <mergeCell ref="K134:L134"/>
    <mergeCell ref="I136:J136"/>
    <mergeCell ref="K137:L138"/>
    <mergeCell ref="E110:F111"/>
    <mergeCell ref="I119:J119"/>
    <mergeCell ref="K118:L118"/>
    <mergeCell ref="O141:O142"/>
    <mergeCell ref="M135:N135"/>
    <mergeCell ref="K139:L139"/>
    <mergeCell ref="M139:N139"/>
    <mergeCell ref="M137:N138"/>
    <mergeCell ref="M141:N142"/>
    <mergeCell ref="K140:L140"/>
    <mergeCell ref="M140:N140"/>
    <mergeCell ref="K135:L135"/>
    <mergeCell ref="K136:L136"/>
    <mergeCell ref="O129:O130"/>
    <mergeCell ref="O137:O138"/>
    <mergeCell ref="O133:O134"/>
    <mergeCell ref="M134:N134"/>
    <mergeCell ref="M136:N136"/>
    <mergeCell ref="E133:N133"/>
    <mergeCell ref="O120:O121"/>
    <mergeCell ref="G120:H121"/>
    <mergeCell ref="I120:J121"/>
    <mergeCell ref="K120:L121"/>
    <mergeCell ref="O108:O109"/>
    <mergeCell ref="G110:H111"/>
    <mergeCell ref="I110:J111"/>
    <mergeCell ref="K110:L111"/>
    <mergeCell ref="M110:N111"/>
    <mergeCell ref="O110:O111"/>
    <mergeCell ref="K115:L115"/>
    <mergeCell ref="I112:J112"/>
    <mergeCell ref="I114:J114"/>
    <mergeCell ref="E116:F116"/>
    <mergeCell ref="G116:H116"/>
    <mergeCell ref="I116:J116"/>
    <mergeCell ref="E115:F115"/>
    <mergeCell ref="G112:H112"/>
    <mergeCell ref="M106:N106"/>
    <mergeCell ref="B108:B109"/>
    <mergeCell ref="C108:C109"/>
    <mergeCell ref="D108:D109"/>
    <mergeCell ref="E108:F109"/>
    <mergeCell ref="G108:H109"/>
    <mergeCell ref="I108:J109"/>
    <mergeCell ref="K108:L109"/>
    <mergeCell ref="E106:F106"/>
    <mergeCell ref="G106:H106"/>
    <mergeCell ref="D104:D105"/>
    <mergeCell ref="O104:O105"/>
    <mergeCell ref="E105:F105"/>
    <mergeCell ref="G105:H105"/>
    <mergeCell ref="I105:J105"/>
    <mergeCell ref="K105:L105"/>
    <mergeCell ref="M105:N105"/>
    <mergeCell ref="E104:N104"/>
    <mergeCell ref="M118:N118"/>
    <mergeCell ref="E120:F121"/>
    <mergeCell ref="E117:F117"/>
    <mergeCell ref="I117:J117"/>
    <mergeCell ref="G118:H118"/>
    <mergeCell ref="I118:J118"/>
    <mergeCell ref="E118:F118"/>
    <mergeCell ref="K117:L117"/>
    <mergeCell ref="E113:F113"/>
    <mergeCell ref="C133:C134"/>
    <mergeCell ref="B133:B134"/>
    <mergeCell ref="B129:B130"/>
    <mergeCell ref="C129:C130"/>
    <mergeCell ref="E119:F119"/>
    <mergeCell ref="B120:B121"/>
    <mergeCell ref="D129:D130"/>
    <mergeCell ref="E129:F130"/>
    <mergeCell ref="K124:L124"/>
    <mergeCell ref="I123:J123"/>
    <mergeCell ref="K123:L123"/>
    <mergeCell ref="M123:N123"/>
    <mergeCell ref="M128:N128"/>
    <mergeCell ref="M126:N126"/>
    <mergeCell ref="G128:H128"/>
    <mergeCell ref="K125:L125"/>
    <mergeCell ref="M125:N125"/>
    <mergeCell ref="E124:F124"/>
    <mergeCell ref="G124:H124"/>
    <mergeCell ref="I124:J124"/>
    <mergeCell ref="C120:C121"/>
    <mergeCell ref="D120:D121"/>
    <mergeCell ref="M131:N131"/>
    <mergeCell ref="E126:F126"/>
    <mergeCell ref="G126:H126"/>
    <mergeCell ref="I126:J126"/>
    <mergeCell ref="K126:L126"/>
    <mergeCell ref="G129:H130"/>
    <mergeCell ref="I129:J130"/>
    <mergeCell ref="K129:L130"/>
    <mergeCell ref="M129:N130"/>
    <mergeCell ref="E128:F128"/>
    <mergeCell ref="E140:F140"/>
    <mergeCell ref="G140:H140"/>
    <mergeCell ref="I128:J128"/>
    <mergeCell ref="I131:J131"/>
    <mergeCell ref="E131:F131"/>
    <mergeCell ref="K131:L131"/>
    <mergeCell ref="G131:H131"/>
    <mergeCell ref="K127:L127"/>
    <mergeCell ref="K128:L128"/>
    <mergeCell ref="I134:J134"/>
    <mergeCell ref="E135:F135"/>
    <mergeCell ref="G135:H135"/>
    <mergeCell ref="I135:J135"/>
    <mergeCell ref="D133:D134"/>
    <mergeCell ref="E136:F136"/>
    <mergeCell ref="G136:H136"/>
    <mergeCell ref="E134:F134"/>
    <mergeCell ref="G134:H134"/>
    <mergeCell ref="E125:F125"/>
    <mergeCell ref="G125:H125"/>
    <mergeCell ref="I125:J125"/>
    <mergeCell ref="E127:F127"/>
    <mergeCell ref="G127:H127"/>
    <mergeCell ref="I127:J127"/>
    <mergeCell ref="M59:N59"/>
    <mergeCell ref="M124:N124"/>
    <mergeCell ref="E114:F114"/>
    <mergeCell ref="K112:L112"/>
    <mergeCell ref="M82:N82"/>
    <mergeCell ref="M87:N87"/>
    <mergeCell ref="K86:L86"/>
    <mergeCell ref="M86:N86"/>
    <mergeCell ref="M83:N83"/>
    <mergeCell ref="M84:N85"/>
    <mergeCell ref="M74:N74"/>
    <mergeCell ref="M72:N73"/>
    <mergeCell ref="O55:O56"/>
    <mergeCell ref="O60:O61"/>
    <mergeCell ref="M55:N56"/>
    <mergeCell ref="O68:O69"/>
    <mergeCell ref="M68:N69"/>
    <mergeCell ref="M66:N66"/>
    <mergeCell ref="M62:N62"/>
    <mergeCell ref="M60:N61"/>
    <mergeCell ref="M79:N79"/>
    <mergeCell ref="M80:N81"/>
    <mergeCell ref="K83:L83"/>
    <mergeCell ref="G83:H83"/>
    <mergeCell ref="I83:J83"/>
    <mergeCell ref="I79:J79"/>
    <mergeCell ref="M88:N88"/>
    <mergeCell ref="E87:F87"/>
    <mergeCell ref="G87:H87"/>
    <mergeCell ref="I87:J87"/>
    <mergeCell ref="E88:F88"/>
    <mergeCell ref="G88:H88"/>
    <mergeCell ref="I88:J88"/>
    <mergeCell ref="K87:L87"/>
    <mergeCell ref="C84:C85"/>
    <mergeCell ref="E83:F83"/>
    <mergeCell ref="K88:L88"/>
    <mergeCell ref="D84:D85"/>
    <mergeCell ref="K84:L85"/>
    <mergeCell ref="E86:F86"/>
    <mergeCell ref="G86:H86"/>
    <mergeCell ref="I86:J86"/>
    <mergeCell ref="K72:L73"/>
    <mergeCell ref="I80:J81"/>
    <mergeCell ref="D80:D81"/>
    <mergeCell ref="E82:F82"/>
    <mergeCell ref="G82:H82"/>
    <mergeCell ref="I82:J82"/>
    <mergeCell ref="K79:L79"/>
    <mergeCell ref="K82:L82"/>
    <mergeCell ref="E79:F79"/>
    <mergeCell ref="D72:D73"/>
    <mergeCell ref="O84:O85"/>
    <mergeCell ref="B76:B77"/>
    <mergeCell ref="C76:C77"/>
    <mergeCell ref="D76:D77"/>
    <mergeCell ref="E76:N76"/>
    <mergeCell ref="O76:O77"/>
    <mergeCell ref="K80:L81"/>
    <mergeCell ref="B80:B81"/>
    <mergeCell ref="C80:C81"/>
    <mergeCell ref="E80:F81"/>
    <mergeCell ref="E65:F65"/>
    <mergeCell ref="B89:B90"/>
    <mergeCell ref="C89:C90"/>
    <mergeCell ref="D89:D90"/>
    <mergeCell ref="E89:F90"/>
    <mergeCell ref="B72:B73"/>
    <mergeCell ref="C72:C73"/>
    <mergeCell ref="E74:F74"/>
    <mergeCell ref="E72:F73"/>
    <mergeCell ref="B84:B85"/>
    <mergeCell ref="M71:N71"/>
    <mergeCell ref="G60:H61"/>
    <mergeCell ref="E70:F70"/>
    <mergeCell ref="G70:H70"/>
    <mergeCell ref="I70:J70"/>
    <mergeCell ref="K68:L69"/>
    <mergeCell ref="E68:F69"/>
    <mergeCell ref="K65:L65"/>
    <mergeCell ref="G66:H66"/>
    <mergeCell ref="E66:F66"/>
    <mergeCell ref="B68:B69"/>
    <mergeCell ref="C68:C69"/>
    <mergeCell ref="D68:D69"/>
    <mergeCell ref="O72:O73"/>
    <mergeCell ref="K70:L70"/>
    <mergeCell ref="K71:L71"/>
    <mergeCell ref="G68:H69"/>
    <mergeCell ref="E71:F71"/>
    <mergeCell ref="G71:H71"/>
    <mergeCell ref="I68:J69"/>
    <mergeCell ref="M53:N54"/>
    <mergeCell ref="B53:B54"/>
    <mergeCell ref="C53:C54"/>
    <mergeCell ref="D53:D54"/>
    <mergeCell ref="E53:F54"/>
    <mergeCell ref="K91:L91"/>
    <mergeCell ref="G53:H54"/>
    <mergeCell ref="I53:J54"/>
    <mergeCell ref="K53:L54"/>
    <mergeCell ref="G89:H90"/>
    <mergeCell ref="I89:J90"/>
    <mergeCell ref="K89:L90"/>
    <mergeCell ref="I84:J85"/>
    <mergeCell ref="G74:H74"/>
    <mergeCell ref="K74:L74"/>
    <mergeCell ref="M93:N93"/>
    <mergeCell ref="O53:O54"/>
    <mergeCell ref="M94:N94"/>
    <mergeCell ref="E67:F67"/>
    <mergeCell ref="G67:H67"/>
    <mergeCell ref="I67:J67"/>
    <mergeCell ref="K67:L67"/>
    <mergeCell ref="M67:N67"/>
    <mergeCell ref="M89:N90"/>
    <mergeCell ref="M70:N70"/>
    <mergeCell ref="M122:N122"/>
    <mergeCell ref="K97:L97"/>
    <mergeCell ref="M97:N97"/>
    <mergeCell ref="G92:H92"/>
    <mergeCell ref="I92:J92"/>
    <mergeCell ref="K92:L92"/>
    <mergeCell ref="M92:N92"/>
    <mergeCell ref="G93:H93"/>
    <mergeCell ref="I93:J93"/>
    <mergeCell ref="K93:L93"/>
    <mergeCell ref="K98:L98"/>
    <mergeCell ref="M98:N98"/>
    <mergeCell ref="M100:N100"/>
    <mergeCell ref="M127:N127"/>
    <mergeCell ref="K114:L114"/>
    <mergeCell ref="M114:N114"/>
    <mergeCell ref="M119:N119"/>
    <mergeCell ref="M120:N121"/>
    <mergeCell ref="M108:N109"/>
    <mergeCell ref="K122:L122"/>
    <mergeCell ref="E98:F98"/>
    <mergeCell ref="G98:H98"/>
    <mergeCell ref="I98:J98"/>
    <mergeCell ref="G99:H99"/>
    <mergeCell ref="I99:J99"/>
    <mergeCell ref="E100:F100"/>
    <mergeCell ref="G100:H100"/>
    <mergeCell ref="I100:J100"/>
    <mergeCell ref="K100:L100"/>
    <mergeCell ref="B102:J102"/>
    <mergeCell ref="I106:J106"/>
    <mergeCell ref="K106:L106"/>
    <mergeCell ref="B110:B111"/>
    <mergeCell ref="C110:C111"/>
    <mergeCell ref="D110:D111"/>
    <mergeCell ref="I107:J107"/>
    <mergeCell ref="K107:L107"/>
    <mergeCell ref="B104:B105"/>
    <mergeCell ref="C104:C105"/>
    <mergeCell ref="I71:J71"/>
    <mergeCell ref="I74:J74"/>
    <mergeCell ref="G80:H81"/>
    <mergeCell ref="G79:H79"/>
    <mergeCell ref="I72:J73"/>
    <mergeCell ref="G72:H73"/>
    <mergeCell ref="G95:H96"/>
    <mergeCell ref="I95:J96"/>
    <mergeCell ref="E97:F97"/>
    <mergeCell ref="G97:H97"/>
    <mergeCell ref="I97:J97"/>
    <mergeCell ref="B95:B96"/>
    <mergeCell ref="E95:F96"/>
    <mergeCell ref="C95:C96"/>
    <mergeCell ref="D95:D96"/>
    <mergeCell ref="I91:J91"/>
    <mergeCell ref="E93:F93"/>
    <mergeCell ref="E92:F92"/>
    <mergeCell ref="E94:F94"/>
    <mergeCell ref="E91:F91"/>
    <mergeCell ref="G91:H91"/>
    <mergeCell ref="G19:H20"/>
    <mergeCell ref="G18:H18"/>
    <mergeCell ref="B19:B20"/>
    <mergeCell ref="C19:C20"/>
    <mergeCell ref="D19:D20"/>
    <mergeCell ref="E19:F20"/>
    <mergeCell ref="K143:L143"/>
    <mergeCell ref="M143:N143"/>
    <mergeCell ref="B137:B138"/>
    <mergeCell ref="C137:C138"/>
    <mergeCell ref="B141:B142"/>
    <mergeCell ref="C141:C142"/>
    <mergeCell ref="D137:D138"/>
    <mergeCell ref="E137:F138"/>
    <mergeCell ref="G137:H138"/>
    <mergeCell ref="E141:F142"/>
    <mergeCell ref="C49:C50"/>
    <mergeCell ref="G141:H142"/>
    <mergeCell ref="I141:J142"/>
    <mergeCell ref="E143:F143"/>
    <mergeCell ref="G143:H143"/>
    <mergeCell ref="I143:J143"/>
    <mergeCell ref="I137:J138"/>
    <mergeCell ref="E122:F122"/>
    <mergeCell ref="G122:H122"/>
    <mergeCell ref="G113:H113"/>
    <mergeCell ref="E64:F64"/>
    <mergeCell ref="D141:D142"/>
    <mergeCell ref="B37:B38"/>
    <mergeCell ref="C37:C38"/>
    <mergeCell ref="B60:B61"/>
    <mergeCell ref="C60:C61"/>
    <mergeCell ref="D37:D38"/>
    <mergeCell ref="D60:D61"/>
    <mergeCell ref="D55:D56"/>
    <mergeCell ref="B49:B50"/>
    <mergeCell ref="E63:F63"/>
    <mergeCell ref="M63:N63"/>
    <mergeCell ref="G63:H63"/>
    <mergeCell ref="E37:N37"/>
    <mergeCell ref="E38:F38"/>
    <mergeCell ref="G38:H38"/>
    <mergeCell ref="I38:J38"/>
    <mergeCell ref="M38:N38"/>
    <mergeCell ref="K55:L56"/>
    <mergeCell ref="E60:F61"/>
    <mergeCell ref="M65:N65"/>
    <mergeCell ref="K63:L63"/>
    <mergeCell ref="G64:H64"/>
    <mergeCell ref="I64:J64"/>
    <mergeCell ref="M64:N64"/>
    <mergeCell ref="G65:H65"/>
    <mergeCell ref="I65:J65"/>
    <mergeCell ref="K64:L64"/>
    <mergeCell ref="K66:L66"/>
    <mergeCell ref="I62:J62"/>
    <mergeCell ref="I63:J63"/>
    <mergeCell ref="I66:J66"/>
    <mergeCell ref="K60:L61"/>
    <mergeCell ref="I60:J61"/>
    <mergeCell ref="E62:F62"/>
    <mergeCell ref="G62:H62"/>
    <mergeCell ref="K62:L62"/>
    <mergeCell ref="O89:O90"/>
    <mergeCell ref="E77:F77"/>
    <mergeCell ref="G77:H77"/>
    <mergeCell ref="I77:J77"/>
    <mergeCell ref="K77:L77"/>
    <mergeCell ref="M77:N77"/>
    <mergeCell ref="E78:F78"/>
    <mergeCell ref="E84:F85"/>
    <mergeCell ref="G84:H85"/>
    <mergeCell ref="O80:O81"/>
    <mergeCell ref="K95:L96"/>
    <mergeCell ref="M95:N96"/>
    <mergeCell ref="G78:H78"/>
    <mergeCell ref="I78:J78"/>
    <mergeCell ref="K78:L78"/>
    <mergeCell ref="M78:N78"/>
    <mergeCell ref="M91:N91"/>
    <mergeCell ref="G94:H94"/>
    <mergeCell ref="I94:J94"/>
    <mergeCell ref="K94:L94"/>
    <mergeCell ref="E57:F57"/>
    <mergeCell ref="G57:H57"/>
    <mergeCell ref="E59:F59"/>
    <mergeCell ref="G59:H59"/>
    <mergeCell ref="E58:F58"/>
    <mergeCell ref="G58:H58"/>
    <mergeCell ref="E55:F56"/>
    <mergeCell ref="G55:H56"/>
    <mergeCell ref="B55:B56"/>
    <mergeCell ref="C55:C56"/>
    <mergeCell ref="O95:O96"/>
    <mergeCell ref="I55:J56"/>
    <mergeCell ref="M57:N57"/>
    <mergeCell ref="K58:L58"/>
    <mergeCell ref="M58:N58"/>
    <mergeCell ref="I59:J59"/>
    <mergeCell ref="K57:L57"/>
    <mergeCell ref="I57:J57"/>
    <mergeCell ref="I58:J58"/>
    <mergeCell ref="K59:L59"/>
    <mergeCell ref="I122:J122"/>
    <mergeCell ref="E123:F123"/>
    <mergeCell ref="G123:H123"/>
    <mergeCell ref="E107:F107"/>
    <mergeCell ref="G115:H115"/>
    <mergeCell ref="G117:H117"/>
    <mergeCell ref="G119:H119"/>
    <mergeCell ref="G114:H114"/>
    <mergeCell ref="I113:J113"/>
    <mergeCell ref="E112:F112"/>
    <mergeCell ref="M107:N107"/>
    <mergeCell ref="M112:N112"/>
    <mergeCell ref="I115:J115"/>
    <mergeCell ref="K119:L119"/>
    <mergeCell ref="M113:N113"/>
    <mergeCell ref="M115:N115"/>
    <mergeCell ref="K116:L116"/>
    <mergeCell ref="M116:N116"/>
    <mergeCell ref="M117:N117"/>
    <mergeCell ref="K113:L113"/>
    <mergeCell ref="M45:N45"/>
    <mergeCell ref="E52:F52"/>
    <mergeCell ref="G52:H52"/>
    <mergeCell ref="I52:J52"/>
    <mergeCell ref="K52:L52"/>
    <mergeCell ref="M52:N52"/>
    <mergeCell ref="D47:H47"/>
    <mergeCell ref="M51:N51"/>
    <mergeCell ref="E45:F45"/>
    <mergeCell ref="G45:H45"/>
    <mergeCell ref="I45:J45"/>
    <mergeCell ref="K45:L45"/>
    <mergeCell ref="K51:L51"/>
    <mergeCell ref="E51:F51"/>
    <mergeCell ref="G51:H51"/>
    <mergeCell ref="I51:J51"/>
    <mergeCell ref="M44:N44"/>
    <mergeCell ref="E43:F43"/>
    <mergeCell ref="G43:H43"/>
    <mergeCell ref="I43:J43"/>
    <mergeCell ref="E44:F44"/>
    <mergeCell ref="G44:H44"/>
    <mergeCell ref="I44:J44"/>
    <mergeCell ref="K44:L44"/>
    <mergeCell ref="K43:L43"/>
    <mergeCell ref="M43:N43"/>
    <mergeCell ref="I41:J42"/>
    <mergeCell ref="D41:D42"/>
    <mergeCell ref="B41:B42"/>
    <mergeCell ref="C41:C42"/>
    <mergeCell ref="E41:F42"/>
    <mergeCell ref="G41:H42"/>
    <mergeCell ref="K35:L35"/>
    <mergeCell ref="M35:N35"/>
    <mergeCell ref="E40:F40"/>
    <mergeCell ref="G40:H40"/>
    <mergeCell ref="I40:J40"/>
    <mergeCell ref="K40:L40"/>
    <mergeCell ref="M40:N40"/>
    <mergeCell ref="K38:L38"/>
    <mergeCell ref="M39:N39"/>
    <mergeCell ref="G39:H39"/>
    <mergeCell ref="K33:L33"/>
    <mergeCell ref="M33:N33"/>
    <mergeCell ref="E35:F35"/>
    <mergeCell ref="G35:H35"/>
    <mergeCell ref="I35:J35"/>
    <mergeCell ref="K34:L34"/>
    <mergeCell ref="E33:F33"/>
    <mergeCell ref="E34:F34"/>
    <mergeCell ref="G34:H34"/>
    <mergeCell ref="I34:J34"/>
    <mergeCell ref="G33:H33"/>
    <mergeCell ref="I33:J33"/>
    <mergeCell ref="E32:F32"/>
    <mergeCell ref="G32:H32"/>
    <mergeCell ref="I32:J32"/>
    <mergeCell ref="E31:F31"/>
    <mergeCell ref="G31:H31"/>
    <mergeCell ref="I31:J31"/>
    <mergeCell ref="E30:F30"/>
    <mergeCell ref="G30:H30"/>
    <mergeCell ref="I30:J30"/>
    <mergeCell ref="B28:B29"/>
    <mergeCell ref="C28:C29"/>
    <mergeCell ref="I28:J29"/>
    <mergeCell ref="K28:L29"/>
    <mergeCell ref="E27:F27"/>
    <mergeCell ref="G27:H27"/>
    <mergeCell ref="I27:J27"/>
    <mergeCell ref="D28:D29"/>
    <mergeCell ref="E28:F29"/>
    <mergeCell ref="G28:H29"/>
    <mergeCell ref="B24:B25"/>
    <mergeCell ref="C24:C25"/>
    <mergeCell ref="I24:J25"/>
    <mergeCell ref="E26:F26"/>
    <mergeCell ref="G26:H26"/>
    <mergeCell ref="I26:J26"/>
    <mergeCell ref="D24:D25"/>
    <mergeCell ref="E24:F25"/>
    <mergeCell ref="G24:H25"/>
    <mergeCell ref="E23:F23"/>
    <mergeCell ref="G23:H23"/>
    <mergeCell ref="I23:J23"/>
    <mergeCell ref="K22:L22"/>
    <mergeCell ref="K23:L23"/>
    <mergeCell ref="E21:F21"/>
    <mergeCell ref="G21:H21"/>
    <mergeCell ref="I21:J21"/>
    <mergeCell ref="E22:F22"/>
    <mergeCell ref="G22:H22"/>
    <mergeCell ref="I22:J22"/>
    <mergeCell ref="I19:J20"/>
    <mergeCell ref="K19:L20"/>
    <mergeCell ref="M19:N20"/>
    <mergeCell ref="M21:N21"/>
    <mergeCell ref="K21:L21"/>
    <mergeCell ref="K26:L26"/>
    <mergeCell ref="M23:N23"/>
    <mergeCell ref="K24:L25"/>
    <mergeCell ref="M26:N26"/>
    <mergeCell ref="M28:N29"/>
    <mergeCell ref="K31:L31"/>
    <mergeCell ref="M31:N31"/>
    <mergeCell ref="M22:N22"/>
    <mergeCell ref="K30:L30"/>
    <mergeCell ref="M18:N18"/>
    <mergeCell ref="O28:O29"/>
    <mergeCell ref="K41:L42"/>
    <mergeCell ref="M41:N42"/>
    <mergeCell ref="O41:O42"/>
    <mergeCell ref="O37:O38"/>
    <mergeCell ref="O24:O25"/>
    <mergeCell ref="K27:L27"/>
    <mergeCell ref="M27:N27"/>
    <mergeCell ref="M30:N30"/>
    <mergeCell ref="M99:N99"/>
    <mergeCell ref="E99:F99"/>
    <mergeCell ref="I17:J17"/>
    <mergeCell ref="K17:L17"/>
    <mergeCell ref="K18:L18"/>
    <mergeCell ref="E17:F17"/>
    <mergeCell ref="E18:F18"/>
    <mergeCell ref="E39:F39"/>
    <mergeCell ref="K32:L32"/>
    <mergeCell ref="M34:N34"/>
    <mergeCell ref="I39:J39"/>
    <mergeCell ref="M15:N15"/>
    <mergeCell ref="M16:N16"/>
    <mergeCell ref="G17:H17"/>
    <mergeCell ref="M17:N17"/>
    <mergeCell ref="K16:L16"/>
    <mergeCell ref="I16:J16"/>
    <mergeCell ref="M24:N25"/>
    <mergeCell ref="M32:N32"/>
    <mergeCell ref="I18:J18"/>
    <mergeCell ref="O14:O15"/>
    <mergeCell ref="E14:N14"/>
    <mergeCell ref="E15:F15"/>
    <mergeCell ref="G15:H15"/>
    <mergeCell ref="I15:J15"/>
    <mergeCell ref="K15:L15"/>
    <mergeCell ref="B4:L4"/>
    <mergeCell ref="B5:L5"/>
    <mergeCell ref="B6:L6"/>
    <mergeCell ref="B7:L8"/>
    <mergeCell ref="D12:H12"/>
    <mergeCell ref="E16:F16"/>
    <mergeCell ref="G16:H16"/>
    <mergeCell ref="B14:B15"/>
    <mergeCell ref="C14:C15"/>
    <mergeCell ref="D14:D15"/>
    <mergeCell ref="A2:M2"/>
    <mergeCell ref="E49:N49"/>
    <mergeCell ref="K39:L39"/>
    <mergeCell ref="O49:O50"/>
    <mergeCell ref="E50:F50"/>
    <mergeCell ref="G50:H50"/>
    <mergeCell ref="I50:J50"/>
    <mergeCell ref="K50:L50"/>
    <mergeCell ref="M50:N50"/>
    <mergeCell ref="O19:O20"/>
    <mergeCell ref="O146:O147"/>
    <mergeCell ref="E147:F147"/>
    <mergeCell ref="G147:H147"/>
    <mergeCell ref="I147:J147"/>
    <mergeCell ref="K147:L147"/>
    <mergeCell ref="M147:N147"/>
    <mergeCell ref="D146:L146"/>
    <mergeCell ref="M148:N148"/>
    <mergeCell ref="E149:F149"/>
    <mergeCell ref="G149:H149"/>
    <mergeCell ref="I149:J149"/>
    <mergeCell ref="K149:L149"/>
    <mergeCell ref="M149:N149"/>
    <mergeCell ref="E148:F148"/>
    <mergeCell ref="G148:H148"/>
    <mergeCell ref="K148:L148"/>
    <mergeCell ref="I148:J148"/>
    <mergeCell ref="G150:H150"/>
    <mergeCell ref="E150:F150"/>
    <mergeCell ref="D153:F153"/>
    <mergeCell ref="K150:L150"/>
    <mergeCell ref="I150:J150"/>
    <mergeCell ref="E152:F152"/>
    <mergeCell ref="G152:H152"/>
    <mergeCell ref="I152:J152"/>
    <mergeCell ref="K152:L152"/>
    <mergeCell ref="L167:O167"/>
    <mergeCell ref="L166:O166"/>
    <mergeCell ref="M154:O154"/>
    <mergeCell ref="J154:K154"/>
    <mergeCell ref="E157:O159"/>
    <mergeCell ref="E160:O160"/>
    <mergeCell ref="L163:O163"/>
    <mergeCell ref="L162:O162"/>
    <mergeCell ref="E162:G162"/>
    <mergeCell ref="E163:G163"/>
    <mergeCell ref="A14:A15"/>
    <mergeCell ref="D154:F154"/>
    <mergeCell ref="D156:F156"/>
    <mergeCell ref="D155:F155"/>
    <mergeCell ref="B146:B147"/>
    <mergeCell ref="C146:C147"/>
    <mergeCell ref="B144:L144"/>
    <mergeCell ref="G107:H107"/>
    <mergeCell ref="D49:D50"/>
    <mergeCell ref="K99:L99"/>
    <mergeCell ref="M153:O153"/>
    <mergeCell ref="A146:A147"/>
    <mergeCell ref="A49:A50"/>
    <mergeCell ref="A76:A77"/>
    <mergeCell ref="A104:A105"/>
    <mergeCell ref="A133:A134"/>
  </mergeCells>
  <dataValidations count="11">
    <dataValidation type="whole" operator="equal" allowBlank="1" showInputMessage="1" showErrorMessage="1" errorTitle="Проверка" error="Строки 731, 732 в графах 4, 8 не заполняются." sqref="D151 K151:L151">
      <formula1>0</formula1>
    </dataValidation>
    <dataValidation type="decimal" operator="equal" allowBlank="1" showInputMessage="1" showErrorMessage="1" errorTitle="Проверка" error="Графы 4,8 строки 720 не заполняются." sqref="K127:L127 D127">
      <formula1>0</formula1>
    </dataValidation>
    <dataValidation type="decimal" operator="equal" allowBlank="1" showInputMessage="1" showErrorMessage="1" errorTitle="Проверка" error="Графы 4, 8 строки 710 не заполняются." sqref="K126:L126 D126">
      <formula1>0</formula1>
    </dataValidation>
    <dataValidation operator="equal" allowBlank="1" showInputMessage="1" showErrorMessage="1" errorTitle="Проверка" error="Графа 7 строк 731 и 732 не заполняется." sqref="I129:J131 I151:J151"/>
    <dataValidation type="decimal" operator="equal" allowBlank="1" showInputMessage="1" showErrorMessage="1" errorTitle="Проверка" error="Графы 7,8 строк 820-822 не заполняются." sqref="I136:L139">
      <formula1>0</formula1>
    </dataValidation>
    <dataValidation operator="equal" allowBlank="1" showInputMessage="1" showErrorMessage="1" errorTitle="Проверка" error="Графа 8 строки 831 не заполняется!" sqref="K141:L142"/>
    <dataValidation operator="equal" allowBlank="1" showInputMessage="1" showErrorMessage="1" errorTitle="Проверка" error="Строки 831, 832 в графе 4 не заполняются." sqref="D141:D143"/>
    <dataValidation errorStyle="warning" operator="equal" allowBlank="1" errorTitle="Внимание!" error="Согласно перечню контрольных соотношений данный показатель не заполняется!" sqref="D137:H139"/>
    <dataValidation operator="equal" allowBlank="1" showInputMessage="1" showErrorMessage="1" errorTitle="Проверка" error="Графа 8 строки 832 не заполняется!" sqref="K143:L143"/>
    <dataValidation errorStyle="warning" type="whole" operator="equal" allowBlank="1" showInputMessage="1" showErrorMessage="1" errorTitle="Проверка" error="Строки 731, 732 в графах 4, 8 не заполняются." sqref="D129:D131 K129:L131">
      <formula1>0</formula1>
    </dataValidation>
    <dataValidation errorStyle="warning" type="whole" operator="equal" allowBlank="1" showInputMessage="1" showErrorMessage="1" errorTitle="Проверка" error="Графы 4,10 в строке 300 не заполняются" sqref="D99 O99">
      <formula1>0</formula1>
    </dataValidation>
  </dataValidations>
  <printOptions/>
  <pageMargins left="0.5905511811023623" right="0.5905511811023623" top="0.5905511811023623" bottom="0.3937007874015748" header="0.5118110236220472" footer="0.5118110236220472"/>
  <pageSetup blackAndWhite="1" fitToHeight="10" horizontalDpi="600" verticalDpi="600" orientation="landscape" paperSize="9" scale="88" r:id="rId1"/>
  <rowBreaks count="5" manualBreakCount="5">
    <brk id="45" max="14" man="1"/>
    <brk id="74" max="14" man="1"/>
    <brk id="100" max="14" man="1"/>
    <brk id="131" max="14" man="1"/>
    <brk id="1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ntolstova</dc:creator>
  <cp:keywords/>
  <dc:description/>
  <cp:lastModifiedBy>Главбух</cp:lastModifiedBy>
  <cp:lastPrinted>2015-04-07T12:14:46Z</cp:lastPrinted>
  <dcterms:created xsi:type="dcterms:W3CDTF">2011-05-05T08:49:26Z</dcterms:created>
  <dcterms:modified xsi:type="dcterms:W3CDTF">2015-09-10T09:29:30Z</dcterms:modified>
  <cp:category/>
  <cp:version/>
  <cp:contentType/>
  <cp:contentStatus/>
</cp:coreProperties>
</file>